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kaneskommuner-my.sharepoint.com/personal/annica_owesson_skaneskommuner_se/Documents/Elbilslandet/Bilagor till lathunden/"/>
    </mc:Choice>
  </mc:AlternateContent>
  <xr:revisionPtr revIDLastSave="0" documentId="8_{06098D4C-E1F2-4D13-9920-61B4D36354EE}" xr6:coauthVersionLast="47" xr6:coauthVersionMax="47" xr10:uidLastSave="{00000000-0000-0000-0000-000000000000}"/>
  <bookViews>
    <workbookView xWindow="33720" yWindow="-120" windowWidth="29040" windowHeight="15840" tabRatio="297" activeTab="1" xr2:uid="{B44F6D6C-90C3-4EE3-9A11-AF315AB23F36}"/>
  </bookViews>
  <sheets>
    <sheet name="Instruktion" sheetId="16" r:id="rId1"/>
    <sheet name="Tabell sorterbar" sheetId="11" r:id="rId2"/>
    <sheet name="Diagram" sheetId="15" r:id="rId3"/>
    <sheet name="restvärde o service" sheetId="3" state="hidden" r:id="rId4"/>
  </sheets>
  <externalReferences>
    <externalReference r:id="rId5"/>
  </externalReferences>
  <definedNames>
    <definedName name="_xlnm._FilterDatabase" localSheetId="1" hidden="1">'Tabell sorterbar'!$A$6:$AJ$77</definedName>
    <definedName name="_xlnm.Print_Area" localSheetId="1">'Tabell sorterbar'!$AF$55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" i="11" l="1"/>
  <c r="U37" i="11" s="1"/>
  <c r="S38" i="11"/>
  <c r="U38" i="11" s="1"/>
  <c r="U9" i="11"/>
  <c r="Q37" i="11"/>
  <c r="R37" i="11" s="1"/>
  <c r="W37" i="11" s="1"/>
  <c r="Q38" i="11"/>
  <c r="AD38" i="11" s="1"/>
  <c r="Q9" i="11"/>
  <c r="AD9" i="11" s="1"/>
  <c r="Q32" i="11"/>
  <c r="AD32" i="11" s="1"/>
  <c r="O37" i="11"/>
  <c r="F3" i="11"/>
  <c r="P37" i="11"/>
  <c r="O38" i="11"/>
  <c r="P38" i="11"/>
  <c r="O9" i="11"/>
  <c r="P9" i="11"/>
  <c r="H37" i="11"/>
  <c r="H38" i="11"/>
  <c r="H9" i="11"/>
  <c r="Q52" i="11"/>
  <c r="AD52" i="11" s="1"/>
  <c r="R75" i="11"/>
  <c r="R76" i="11"/>
  <c r="Q54" i="11"/>
  <c r="AD54" i="11" s="1"/>
  <c r="AD77" i="11"/>
  <c r="AD74" i="11"/>
  <c r="S77" i="11"/>
  <c r="U77" i="11" s="1"/>
  <c r="W74" i="11"/>
  <c r="V74" i="11" s="1"/>
  <c r="W73" i="11"/>
  <c r="V73" i="11" s="1"/>
  <c r="W77" i="11"/>
  <c r="V77" i="11" s="1"/>
  <c r="S54" i="11"/>
  <c r="U54" i="11" s="1"/>
  <c r="Q65" i="11"/>
  <c r="R65" i="11" s="1"/>
  <c r="W65" i="11" s="1"/>
  <c r="V65" i="11" s="1"/>
  <c r="Q23" i="11"/>
  <c r="AD23" i="11" s="1"/>
  <c r="Q35" i="11"/>
  <c r="AD35" i="11" s="1"/>
  <c r="Q70" i="11"/>
  <c r="R70" i="11" s="1"/>
  <c r="W70" i="11" s="1"/>
  <c r="V70" i="11" s="1"/>
  <c r="Q24" i="11"/>
  <c r="AD24" i="11" s="1"/>
  <c r="Q12" i="11"/>
  <c r="AD12" i="11" s="1"/>
  <c r="Q58" i="11"/>
  <c r="AD58" i="11" s="1"/>
  <c r="Q19" i="11"/>
  <c r="R19" i="11" s="1"/>
  <c r="W19" i="11" s="1"/>
  <c r="V19" i="11" s="1"/>
  <c r="H52" i="11"/>
  <c r="AD73" i="11"/>
  <c r="S12" i="11"/>
  <c r="U12" i="11" s="1"/>
  <c r="H19" i="11"/>
  <c r="S73" i="11"/>
  <c r="U73" i="11" s="1"/>
  <c r="R73" i="11"/>
  <c r="O73" i="11"/>
  <c r="P73" i="11"/>
  <c r="H73" i="11"/>
  <c r="S65" i="11"/>
  <c r="U65" i="11" s="1"/>
  <c r="S24" i="11"/>
  <c r="U24" i="11" s="1"/>
  <c r="R77" i="11"/>
  <c r="P77" i="11"/>
  <c r="O77" i="11"/>
  <c r="H77" i="11"/>
  <c r="O65" i="11"/>
  <c r="P65" i="11"/>
  <c r="H65" i="11"/>
  <c r="AH65" i="11"/>
  <c r="AD75" i="11"/>
  <c r="W75" i="11"/>
  <c r="V75" i="11" s="1"/>
  <c r="S75" i="11"/>
  <c r="U75" i="11" s="1"/>
  <c r="P75" i="11"/>
  <c r="O75" i="11"/>
  <c r="H75" i="11"/>
  <c r="AH75" i="11"/>
  <c r="S47" i="11"/>
  <c r="O68" i="11"/>
  <c r="P68" i="11"/>
  <c r="T68" i="11"/>
  <c r="R68" i="11"/>
  <c r="W68" i="11"/>
  <c r="V68" i="11" s="1"/>
  <c r="AD68" i="11"/>
  <c r="S68" i="11"/>
  <c r="H68" i="11"/>
  <c r="AH68" i="11"/>
  <c r="AH43" i="11"/>
  <c r="AD43" i="11"/>
  <c r="W43" i="11"/>
  <c r="V43" i="11" s="1"/>
  <c r="U43" i="11"/>
  <c r="R43" i="11"/>
  <c r="P43" i="11"/>
  <c r="O43" i="11"/>
  <c r="H43" i="11"/>
  <c r="W59" i="11"/>
  <c r="V59" i="11" s="1"/>
  <c r="AH59" i="11"/>
  <c r="AD59" i="11"/>
  <c r="U59" i="11"/>
  <c r="R59" i="11"/>
  <c r="P59" i="11"/>
  <c r="O59" i="11"/>
  <c r="H59" i="11"/>
  <c r="W40" i="11"/>
  <c r="V40" i="11" s="1"/>
  <c r="R44" i="11"/>
  <c r="R17" i="11"/>
  <c r="R40" i="11"/>
  <c r="R42" i="11"/>
  <c r="R62" i="11"/>
  <c r="R47" i="11"/>
  <c r="R11" i="11"/>
  <c r="R28" i="11"/>
  <c r="R53" i="11"/>
  <c r="R60" i="11"/>
  <c r="R15" i="11"/>
  <c r="R26" i="11"/>
  <c r="R27" i="11"/>
  <c r="R46" i="11"/>
  <c r="R8" i="11"/>
  <c r="R14" i="11"/>
  <c r="R61" i="11"/>
  <c r="R29" i="11"/>
  <c r="R57" i="11"/>
  <c r="R66" i="11"/>
  <c r="R20" i="11"/>
  <c r="R21" i="11"/>
  <c r="R16" i="11"/>
  <c r="R45" i="11"/>
  <c r="R49" i="11"/>
  <c r="R13" i="11"/>
  <c r="R33" i="11"/>
  <c r="R22" i="11"/>
  <c r="R18" i="11"/>
  <c r="R63" i="11"/>
  <c r="R7" i="11"/>
  <c r="R10" i="11"/>
  <c r="R36" i="11"/>
  <c r="R51" i="11"/>
  <c r="R72" i="11"/>
  <c r="R71" i="11"/>
  <c r="R31" i="11"/>
  <c r="R34" i="11"/>
  <c r="R69" i="11"/>
  <c r="R25" i="11"/>
  <c r="R74" i="11"/>
  <c r="W67" i="11"/>
  <c r="R67" i="11"/>
  <c r="AD67" i="11"/>
  <c r="R56" i="11"/>
  <c r="AD56" i="11"/>
  <c r="W56" i="11"/>
  <c r="W55" i="11"/>
  <c r="W50" i="11"/>
  <c r="W39" i="11"/>
  <c r="W41" i="11"/>
  <c r="W48" i="11"/>
  <c r="W30" i="11"/>
  <c r="W64" i="11"/>
  <c r="V64" i="11" s="1"/>
  <c r="R55" i="11"/>
  <c r="AD55" i="11" s="1"/>
  <c r="R50" i="11"/>
  <c r="AD50" i="11" s="1"/>
  <c r="R41" i="11"/>
  <c r="AD41" i="11" s="1"/>
  <c r="R48" i="11"/>
  <c r="AD48" i="11" s="1"/>
  <c r="R30" i="11"/>
  <c r="AD30" i="11" s="1"/>
  <c r="R39" i="11"/>
  <c r="AD39" i="11" s="1"/>
  <c r="R64" i="11"/>
  <c r="AD64" i="11" s="1"/>
  <c r="AH64" i="11"/>
  <c r="U64" i="11"/>
  <c r="O64" i="11"/>
  <c r="P64" i="11"/>
  <c r="H64" i="11"/>
  <c r="S19" i="11"/>
  <c r="U19" i="11" s="1"/>
  <c r="O19" i="11"/>
  <c r="P19" i="11"/>
  <c r="AH19" i="11"/>
  <c r="H46" i="11"/>
  <c r="O46" i="11"/>
  <c r="P46" i="11"/>
  <c r="U46" i="11"/>
  <c r="W46" i="11"/>
  <c r="V46" i="11" s="1"/>
  <c r="AD46" i="11"/>
  <c r="AH46" i="11"/>
  <c r="W10" i="11"/>
  <c r="V10" i="11" s="1"/>
  <c r="H24" i="11"/>
  <c r="O24" i="11"/>
  <c r="P24" i="11"/>
  <c r="AH24" i="11"/>
  <c r="S70" i="11"/>
  <c r="U70" i="11" s="1"/>
  <c r="H70" i="11"/>
  <c r="O70" i="11"/>
  <c r="P70" i="11"/>
  <c r="AH70" i="11"/>
  <c r="P34" i="11"/>
  <c r="P69" i="11"/>
  <c r="W69" i="11"/>
  <c r="V69" i="11" s="1"/>
  <c r="H69" i="11"/>
  <c r="O69" i="11"/>
  <c r="U69" i="11"/>
  <c r="AD69" i="11"/>
  <c r="AH69" i="11"/>
  <c r="H63" i="11"/>
  <c r="O63" i="11"/>
  <c r="P63" i="11"/>
  <c r="U63" i="11"/>
  <c r="W63" i="11"/>
  <c r="V63" i="11" s="1"/>
  <c r="AD63" i="11"/>
  <c r="AH63" i="11"/>
  <c r="P74" i="11"/>
  <c r="T47" i="11"/>
  <c r="U66" i="11"/>
  <c r="T74" i="11"/>
  <c r="E74" i="11"/>
  <c r="H74" i="11"/>
  <c r="O74" i="11"/>
  <c r="S74" i="11"/>
  <c r="AH74" i="11"/>
  <c r="E47" i="11"/>
  <c r="H47" i="11"/>
  <c r="D19" i="3"/>
  <c r="F96" i="3" s="1"/>
  <c r="E19" i="3"/>
  <c r="G24" i="3" s="1"/>
  <c r="C19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81" i="3"/>
  <c r="E82" i="3"/>
  <c r="E83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08" i="3"/>
  <c r="E107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58" i="3"/>
  <c r="E57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54" i="3"/>
  <c r="E55" i="3"/>
  <c r="E56" i="3"/>
  <c r="D55" i="3"/>
  <c r="AD47" i="11"/>
  <c r="AD66" i="11"/>
  <c r="W47" i="11"/>
  <c r="V47" i="11" s="1"/>
  <c r="W8" i="11"/>
  <c r="V8" i="11" s="1"/>
  <c r="W62" i="11"/>
  <c r="V62" i="11" s="1"/>
  <c r="S58" i="11"/>
  <c r="U58" i="11" s="1"/>
  <c r="H58" i="11"/>
  <c r="O58" i="11"/>
  <c r="P58" i="11"/>
  <c r="AH58" i="11"/>
  <c r="AH47" i="11"/>
  <c r="P47" i="11"/>
  <c r="O47" i="11"/>
  <c r="H34" i="11"/>
  <c r="O34" i="11"/>
  <c r="U34" i="11"/>
  <c r="W34" i="11"/>
  <c r="V34" i="11" s="1"/>
  <c r="AD34" i="11"/>
  <c r="AH34" i="11"/>
  <c r="E66" i="11"/>
  <c r="H66" i="11"/>
  <c r="W76" i="11"/>
  <c r="V76" i="11" s="1"/>
  <c r="W15" i="11"/>
  <c r="V15" i="11" s="1"/>
  <c r="W14" i="11"/>
  <c r="V14" i="11" s="1"/>
  <c r="W25" i="11"/>
  <c r="V25" i="11" s="1"/>
  <c r="W26" i="11"/>
  <c r="V26" i="11" s="1"/>
  <c r="W27" i="11"/>
  <c r="V27" i="11" s="1"/>
  <c r="W28" i="11"/>
  <c r="V28" i="11" s="1"/>
  <c r="W29" i="11"/>
  <c r="V29" i="11" s="1"/>
  <c r="W53" i="11"/>
  <c r="V53" i="11" s="1"/>
  <c r="W57" i="11"/>
  <c r="V57" i="11" s="1"/>
  <c r="W60" i="11"/>
  <c r="V60" i="11" s="1"/>
  <c r="W61" i="11"/>
  <c r="V61" i="11" s="1"/>
  <c r="W66" i="11"/>
  <c r="V66" i="11" s="1"/>
  <c r="W11" i="11"/>
  <c r="V11" i="11" s="1"/>
  <c r="W44" i="11"/>
  <c r="V44" i="11" s="1"/>
  <c r="W42" i="11"/>
  <c r="V42" i="11" s="1"/>
  <c r="W17" i="11"/>
  <c r="V17" i="11" s="1"/>
  <c r="W7" i="11"/>
  <c r="V7" i="11" s="1"/>
  <c r="W45" i="11"/>
  <c r="V45" i="11" s="1"/>
  <c r="W20" i="11"/>
  <c r="V20" i="11" s="1"/>
  <c r="W51" i="11"/>
  <c r="V51" i="11" s="1"/>
  <c r="W13" i="11"/>
  <c r="V13" i="11" s="1"/>
  <c r="W49" i="11"/>
  <c r="V49" i="11" s="1"/>
  <c r="W18" i="11"/>
  <c r="V18" i="11" s="1"/>
  <c r="W21" i="11"/>
  <c r="V21" i="11" s="1"/>
  <c r="W22" i="11"/>
  <c r="V22" i="11" s="1"/>
  <c r="W33" i="11"/>
  <c r="V33" i="11" s="1"/>
  <c r="W71" i="11"/>
  <c r="V71" i="11" s="1"/>
  <c r="W36" i="11"/>
  <c r="V36" i="11" s="1"/>
  <c r="W31" i="11"/>
  <c r="V31" i="11" s="1"/>
  <c r="W72" i="11"/>
  <c r="V72" i="11" s="1"/>
  <c r="W16" i="11"/>
  <c r="V16" i="11" s="1"/>
  <c r="AD71" i="11"/>
  <c r="O11" i="11"/>
  <c r="AH53" i="11"/>
  <c r="AH29" i="11"/>
  <c r="AH57" i="11"/>
  <c r="AH66" i="11"/>
  <c r="AH15" i="11"/>
  <c r="AH14" i="11"/>
  <c r="AH8" i="11"/>
  <c r="AH61" i="11"/>
  <c r="AH26" i="11"/>
  <c r="AH25" i="11"/>
  <c r="AH27" i="11"/>
  <c r="AH12" i="11"/>
  <c r="AH52" i="11"/>
  <c r="AH54" i="11"/>
  <c r="AH23" i="11"/>
  <c r="AH32" i="11"/>
  <c r="AH35" i="11"/>
  <c r="AH17" i="11"/>
  <c r="AH40" i="11"/>
  <c r="AH42" i="11"/>
  <c r="AH44" i="11"/>
  <c r="AH62" i="11"/>
  <c r="AH30" i="11"/>
  <c r="AH48" i="11"/>
  <c r="AH39" i="11"/>
  <c r="AH41" i="11"/>
  <c r="AH50" i="11"/>
  <c r="AH56" i="11"/>
  <c r="AH55" i="11"/>
  <c r="AH67" i="11"/>
  <c r="AH76" i="11"/>
  <c r="K19" i="3"/>
  <c r="F101" i="3"/>
  <c r="F52" i="3"/>
  <c r="F36" i="3"/>
  <c r="F33" i="3"/>
  <c r="F136" i="3"/>
  <c r="F138" i="3"/>
  <c r="F31" i="3"/>
  <c r="F47" i="3"/>
  <c r="F152" i="3"/>
  <c r="F23" i="3"/>
  <c r="F128" i="3"/>
  <c r="F146" i="3"/>
  <c r="F104" i="3"/>
  <c r="F140" i="3"/>
  <c r="F119" i="3"/>
  <c r="F54" i="3"/>
  <c r="F32" i="3"/>
  <c r="F148" i="3"/>
  <c r="F127" i="3"/>
  <c r="F62" i="3"/>
  <c r="F40" i="3"/>
  <c r="F156" i="3"/>
  <c r="F92" i="3"/>
  <c r="F70" i="3"/>
  <c r="G82" i="3"/>
  <c r="G73" i="3"/>
  <c r="F100" i="3"/>
  <c r="F78" i="3"/>
  <c r="G122" i="3"/>
  <c r="G57" i="3"/>
  <c r="G112" i="3"/>
  <c r="G96" i="3"/>
  <c r="G47" i="3"/>
  <c r="G31" i="3"/>
  <c r="F118" i="3"/>
  <c r="F102" i="3"/>
  <c r="F53" i="3"/>
  <c r="F37" i="3"/>
  <c r="G127" i="3"/>
  <c r="G111" i="3"/>
  <c r="G62" i="3"/>
  <c r="G46" i="3"/>
  <c r="G134" i="3"/>
  <c r="G110" i="3"/>
  <c r="G61" i="3"/>
  <c r="G45" i="3"/>
  <c r="G141" i="3"/>
  <c r="G125" i="3"/>
  <c r="G76" i="3"/>
  <c r="G60" i="3"/>
  <c r="F155" i="3"/>
  <c r="F139" i="3"/>
  <c r="F91" i="3"/>
  <c r="F74" i="3"/>
  <c r="G156" i="3"/>
  <c r="G140" i="3"/>
  <c r="G92" i="3"/>
  <c r="G75" i="3"/>
  <c r="G27" i="3"/>
  <c r="G147" i="3"/>
  <c r="G99" i="3"/>
  <c r="G83" i="3"/>
  <c r="G34" i="3"/>
  <c r="G153" i="3"/>
  <c r="G105" i="3"/>
  <c r="G89" i="3"/>
  <c r="G40" i="3"/>
  <c r="AH7" i="11"/>
  <c r="AH72" i="11"/>
  <c r="AH51" i="11"/>
  <c r="AH20" i="11"/>
  <c r="AH49" i="11"/>
  <c r="AH33" i="11"/>
  <c r="AH10" i="11"/>
  <c r="AH13" i="11"/>
  <c r="AH16" i="11"/>
  <c r="AH18" i="11"/>
  <c r="AH21" i="11"/>
  <c r="AH22" i="11"/>
  <c r="AH31" i="11"/>
  <c r="AH36" i="11"/>
  <c r="AH45" i="11"/>
  <c r="AH71" i="11"/>
  <c r="AH11" i="11"/>
  <c r="AH28" i="11"/>
  <c r="P72" i="11"/>
  <c r="P51" i="11"/>
  <c r="P49" i="11"/>
  <c r="P33" i="11"/>
  <c r="P10" i="11"/>
  <c r="P13" i="11"/>
  <c r="P16" i="11"/>
  <c r="P18" i="11"/>
  <c r="P21" i="11"/>
  <c r="P22" i="11"/>
  <c r="P31" i="11"/>
  <c r="P36" i="11"/>
  <c r="P45" i="11"/>
  <c r="P71" i="11"/>
  <c r="P11" i="11"/>
  <c r="P28" i="11"/>
  <c r="P60" i="11"/>
  <c r="P53" i="11"/>
  <c r="P29" i="11"/>
  <c r="P57" i="11"/>
  <c r="P66" i="11"/>
  <c r="P15" i="11"/>
  <c r="P14" i="11"/>
  <c r="P8" i="11"/>
  <c r="P61" i="11"/>
  <c r="P26" i="11"/>
  <c r="P25" i="11"/>
  <c r="P27" i="11"/>
  <c r="P12" i="11"/>
  <c r="P23" i="11"/>
  <c r="P32" i="11"/>
  <c r="P35" i="11"/>
  <c r="P17" i="11"/>
  <c r="P40" i="11"/>
  <c r="P42" i="11"/>
  <c r="P44" i="11"/>
  <c r="P62" i="11"/>
  <c r="P30" i="11"/>
  <c r="P48" i="11"/>
  <c r="P39" i="11"/>
  <c r="P41" i="11"/>
  <c r="P50" i="11"/>
  <c r="P56" i="11"/>
  <c r="P55" i="11"/>
  <c r="P67" i="11"/>
  <c r="P76" i="11"/>
  <c r="P7" i="11"/>
  <c r="O18" i="11"/>
  <c r="O21" i="11"/>
  <c r="O22" i="11"/>
  <c r="O31" i="11"/>
  <c r="O36" i="11"/>
  <c r="O45" i="11"/>
  <c r="O71" i="11"/>
  <c r="O12" i="11"/>
  <c r="O23" i="11"/>
  <c r="O32" i="11"/>
  <c r="O35" i="11"/>
  <c r="O17" i="11"/>
  <c r="O40" i="11"/>
  <c r="O42" i="11"/>
  <c r="O44" i="11"/>
  <c r="O62" i="11"/>
  <c r="O30" i="11"/>
  <c r="O48" i="11"/>
  <c r="O39" i="11"/>
  <c r="O41" i="11"/>
  <c r="O50" i="11"/>
  <c r="O56" i="11"/>
  <c r="O55" i="11"/>
  <c r="O67" i="11"/>
  <c r="O76" i="11"/>
  <c r="O16" i="11"/>
  <c r="O72" i="11"/>
  <c r="O51" i="11"/>
  <c r="O49" i="11"/>
  <c r="O28" i="11"/>
  <c r="O60" i="11"/>
  <c r="O53" i="11"/>
  <c r="O29" i="11"/>
  <c r="O57" i="11"/>
  <c r="O66" i="11"/>
  <c r="O15" i="11"/>
  <c r="O14" i="11"/>
  <c r="O8" i="11"/>
  <c r="O61" i="11"/>
  <c r="O26" i="11"/>
  <c r="O25" i="11"/>
  <c r="O27" i="11"/>
  <c r="O33" i="11"/>
  <c r="O10" i="11"/>
  <c r="O13" i="11"/>
  <c r="O7" i="11"/>
  <c r="H72" i="11"/>
  <c r="U72" i="11"/>
  <c r="AD72" i="11"/>
  <c r="H51" i="11"/>
  <c r="U51" i="11"/>
  <c r="AD51" i="11"/>
  <c r="H88" i="3"/>
  <c r="H66" i="3"/>
  <c r="S17" i="11"/>
  <c r="U17" i="11" s="1"/>
  <c r="S40" i="11"/>
  <c r="U40" i="11" s="1"/>
  <c r="S42" i="11"/>
  <c r="U42" i="11" s="1"/>
  <c r="S44" i="11"/>
  <c r="U44" i="11" s="1"/>
  <c r="S62" i="11"/>
  <c r="U62" i="11" s="1"/>
  <c r="S76" i="11"/>
  <c r="U76" i="11" s="1"/>
  <c r="G56" i="11"/>
  <c r="G48" i="11"/>
  <c r="H48" i="11" s="1"/>
  <c r="G39" i="11"/>
  <c r="H39" i="11" s="1"/>
  <c r="G41" i="11"/>
  <c r="H41" i="11" s="1"/>
  <c r="G50" i="11"/>
  <c r="H50" i="11" s="1"/>
  <c r="G55" i="11"/>
  <c r="H55" i="11" s="1"/>
  <c r="G67" i="11"/>
  <c r="H67" i="11" s="1"/>
  <c r="G30" i="11"/>
  <c r="H30" i="11" s="1"/>
  <c r="I3" i="3"/>
  <c r="U41" i="11"/>
  <c r="E27" i="11"/>
  <c r="H27" i="11"/>
  <c r="E25" i="11"/>
  <c r="H25" i="11"/>
  <c r="E26" i="11"/>
  <c r="H26" i="11"/>
  <c r="U26" i="11"/>
  <c r="AD26" i="11"/>
  <c r="U25" i="11"/>
  <c r="AD25" i="11"/>
  <c r="U27" i="11"/>
  <c r="AD27" i="11"/>
  <c r="E61" i="11"/>
  <c r="H61" i="11"/>
  <c r="E8" i="11"/>
  <c r="H8" i="11"/>
  <c r="E14" i="11"/>
  <c r="H14" i="11"/>
  <c r="U14" i="11"/>
  <c r="AD14" i="11"/>
  <c r="U8" i="11"/>
  <c r="AD8" i="11"/>
  <c r="U61" i="11"/>
  <c r="AD61" i="11"/>
  <c r="E33" i="11"/>
  <c r="H33" i="11"/>
  <c r="U33" i="11"/>
  <c r="AD33" i="11"/>
  <c r="E15" i="11"/>
  <c r="H15" i="11"/>
  <c r="E57" i="11"/>
  <c r="H57" i="11"/>
  <c r="E29" i="11"/>
  <c r="H29" i="11"/>
  <c r="U57" i="11"/>
  <c r="AD57" i="11"/>
  <c r="U15" i="11"/>
  <c r="AD15" i="11"/>
  <c r="E53" i="11"/>
  <c r="H53" i="11"/>
  <c r="E60" i="11"/>
  <c r="H60" i="11"/>
  <c r="E28" i="11"/>
  <c r="H28" i="11"/>
  <c r="E11" i="11"/>
  <c r="H11" i="11"/>
  <c r="H49" i="11"/>
  <c r="U49" i="11"/>
  <c r="AD49" i="11"/>
  <c r="U11" i="11"/>
  <c r="AD11" i="11"/>
  <c r="U28" i="11"/>
  <c r="AD28" i="11"/>
  <c r="U60" i="11"/>
  <c r="AD60" i="11"/>
  <c r="AH60" i="11"/>
  <c r="U53" i="11"/>
  <c r="AD53" i="11"/>
  <c r="U29" i="11"/>
  <c r="AD29" i="11"/>
  <c r="L19" i="3"/>
  <c r="AD76" i="11"/>
  <c r="H76" i="11"/>
  <c r="U67" i="11"/>
  <c r="U55" i="11"/>
  <c r="U56" i="11"/>
  <c r="H56" i="11"/>
  <c r="U50" i="11"/>
  <c r="U39" i="11"/>
  <c r="U48" i="11"/>
  <c r="U30" i="11"/>
  <c r="AD62" i="11"/>
  <c r="H62" i="11"/>
  <c r="AD44" i="11"/>
  <c r="H44" i="11"/>
  <c r="AD42" i="11"/>
  <c r="E42" i="11"/>
  <c r="H42" i="11"/>
  <c r="AD40" i="11"/>
  <c r="H40" i="11"/>
  <c r="AD17" i="11"/>
  <c r="H17" i="11"/>
  <c r="S35" i="11"/>
  <c r="U35" i="11" s="1"/>
  <c r="H35" i="11"/>
  <c r="S32" i="11"/>
  <c r="U32" i="11" s="1"/>
  <c r="H32" i="11"/>
  <c r="U23" i="11"/>
  <c r="H23" i="11"/>
  <c r="N54" i="11"/>
  <c r="H54" i="11"/>
  <c r="S52" i="11"/>
  <c r="U52" i="11" s="1"/>
  <c r="N52" i="11"/>
  <c r="P52" i="11"/>
  <c r="H12" i="11"/>
  <c r="U71" i="11"/>
  <c r="H71" i="11"/>
  <c r="AD45" i="11"/>
  <c r="U45" i="11"/>
  <c r="H45" i="11"/>
  <c r="AD36" i="11"/>
  <c r="U36" i="11"/>
  <c r="H36" i="11"/>
  <c r="AD31" i="11"/>
  <c r="U31" i="11"/>
  <c r="H31" i="11"/>
  <c r="AD22" i="11"/>
  <c r="U22" i="11"/>
  <c r="H22" i="11"/>
  <c r="AD21" i="11"/>
  <c r="U21" i="11"/>
  <c r="H21" i="11"/>
  <c r="AD18" i="11"/>
  <c r="U18" i="11"/>
  <c r="H18" i="11"/>
  <c r="AD16" i="11"/>
  <c r="U16" i="11"/>
  <c r="H16" i="11"/>
  <c r="AD13" i="11"/>
  <c r="U13" i="11"/>
  <c r="H13" i="11"/>
  <c r="AD10" i="11"/>
  <c r="U10" i="11"/>
  <c r="H10" i="11"/>
  <c r="AD20" i="11"/>
  <c r="U20" i="11"/>
  <c r="N20" i="11"/>
  <c r="P20" i="11"/>
  <c r="H20" i="11"/>
  <c r="AD7" i="11"/>
  <c r="U7" i="11"/>
  <c r="H7" i="11"/>
  <c r="L13" i="3"/>
  <c r="N13" i="3"/>
  <c r="O54" i="11"/>
  <c r="P54" i="11"/>
  <c r="O20" i="11"/>
  <c r="O52" i="11"/>
  <c r="L17" i="3"/>
  <c r="M17" i="3"/>
  <c r="N17" i="3"/>
  <c r="L14" i="3"/>
  <c r="M14" i="3"/>
  <c r="N14" i="3"/>
  <c r="L15" i="3"/>
  <c r="M15" i="3"/>
  <c r="N15" i="3"/>
  <c r="L16" i="3"/>
  <c r="M16" i="3"/>
  <c r="N1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9" i="3"/>
  <c r="H90" i="3"/>
  <c r="H91" i="3"/>
  <c r="H92" i="3"/>
  <c r="H93" i="3"/>
  <c r="H94" i="3"/>
  <c r="H95" i="3"/>
  <c r="H96" i="3"/>
  <c r="H67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I65" i="3"/>
  <c r="H65" i="3"/>
  <c r="H20" i="3"/>
  <c r="V30" i="11"/>
  <c r="V67" i="11"/>
  <c r="V41" i="11"/>
  <c r="V39" i="11"/>
  <c r="V50" i="11"/>
  <c r="V48" i="11"/>
  <c r="V56" i="11"/>
  <c r="V55" i="11"/>
  <c r="B66" i="3"/>
  <c r="B46" i="3"/>
  <c r="AB141" i="3"/>
  <c r="V141" i="3"/>
  <c r="AB140" i="3"/>
  <c r="AB139" i="3"/>
  <c r="AB138" i="3"/>
  <c r="V138" i="3"/>
  <c r="AB137" i="3"/>
  <c r="AB136" i="3"/>
  <c r="AB135" i="3"/>
  <c r="V135" i="3"/>
  <c r="AB134" i="3"/>
  <c r="AB133" i="3"/>
  <c r="AB132" i="3"/>
  <c r="V132" i="3"/>
  <c r="AB131" i="3"/>
  <c r="AB130" i="3"/>
  <c r="AB129" i="3"/>
  <c r="V129" i="3"/>
  <c r="AB128" i="3"/>
  <c r="AB127" i="3"/>
  <c r="AB126" i="3"/>
  <c r="V126" i="3"/>
  <c r="AB125" i="3"/>
  <c r="AB124" i="3"/>
  <c r="AB123" i="3"/>
  <c r="V123" i="3"/>
  <c r="AB122" i="3"/>
  <c r="AB121" i="3"/>
  <c r="AB120" i="3"/>
  <c r="V120" i="3"/>
  <c r="AB119" i="3"/>
  <c r="AB118" i="3"/>
  <c r="AB117" i="3"/>
  <c r="V117" i="3"/>
  <c r="AB116" i="3"/>
  <c r="AB115" i="3"/>
  <c r="AB114" i="3"/>
  <c r="V114" i="3"/>
  <c r="AB113" i="3"/>
  <c r="AB112" i="3"/>
  <c r="AB111" i="3"/>
  <c r="V111" i="3"/>
  <c r="AB110" i="3"/>
  <c r="AB109" i="3"/>
  <c r="AB108" i="3"/>
  <c r="V108" i="3"/>
  <c r="AB107" i="3"/>
  <c r="AB106" i="3"/>
  <c r="AB105" i="3"/>
  <c r="V105" i="3"/>
  <c r="AB104" i="3"/>
  <c r="AB103" i="3"/>
  <c r="AB102" i="3"/>
  <c r="V102" i="3"/>
  <c r="AB101" i="3"/>
  <c r="AB100" i="3"/>
  <c r="AB99" i="3"/>
  <c r="V99" i="3"/>
  <c r="AB98" i="3"/>
  <c r="AB97" i="3"/>
  <c r="AB96" i="3"/>
  <c r="V96" i="3"/>
  <c r="AB95" i="3"/>
  <c r="B96" i="3"/>
  <c r="D67" i="3"/>
  <c r="AB94" i="3"/>
  <c r="AB93" i="3"/>
  <c r="V93" i="3"/>
  <c r="AB92" i="3"/>
  <c r="AB91" i="3"/>
  <c r="AB90" i="3"/>
  <c r="V90" i="3"/>
  <c r="AB89" i="3"/>
  <c r="AB88" i="3"/>
  <c r="AB87" i="3"/>
  <c r="V87" i="3"/>
  <c r="AB86" i="3"/>
  <c r="AB85" i="3"/>
  <c r="AB84" i="3"/>
  <c r="V84" i="3"/>
  <c r="AB83" i="3"/>
  <c r="AB82" i="3"/>
  <c r="AB81" i="3"/>
  <c r="V81" i="3"/>
  <c r="AB80" i="3"/>
  <c r="AB79" i="3"/>
  <c r="AB78" i="3"/>
  <c r="V78" i="3"/>
  <c r="AB77" i="3"/>
  <c r="AB76" i="3"/>
  <c r="AB75" i="3"/>
  <c r="V75" i="3"/>
  <c r="AB74" i="3"/>
  <c r="AB73" i="3"/>
  <c r="AB72" i="3"/>
  <c r="V72" i="3"/>
  <c r="AB71" i="3"/>
  <c r="AB70" i="3"/>
  <c r="AB69" i="3"/>
  <c r="V69" i="3"/>
  <c r="AB68" i="3"/>
  <c r="AB67" i="3"/>
  <c r="AB66" i="3"/>
  <c r="V66" i="3"/>
  <c r="AB65" i="3"/>
  <c r="AB64" i="3"/>
  <c r="AB63" i="3"/>
  <c r="V63" i="3"/>
  <c r="AB62" i="3"/>
  <c r="AB61" i="3"/>
  <c r="AB60" i="3"/>
  <c r="V60" i="3"/>
  <c r="AB59" i="3"/>
  <c r="AB58" i="3"/>
  <c r="AB57" i="3"/>
  <c r="V57" i="3"/>
  <c r="AB56" i="3"/>
  <c r="AB55" i="3"/>
  <c r="AB54" i="3"/>
  <c r="V54" i="3"/>
  <c r="AB53" i="3"/>
  <c r="AB52" i="3"/>
  <c r="AB51" i="3"/>
  <c r="V51" i="3"/>
  <c r="AB50" i="3"/>
  <c r="AB49" i="3"/>
  <c r="AB48" i="3"/>
  <c r="V48" i="3"/>
  <c r="AB47" i="3"/>
  <c r="AB46" i="3"/>
  <c r="AB45" i="3"/>
  <c r="V45" i="3"/>
  <c r="AB44" i="3"/>
  <c r="AB43" i="3"/>
  <c r="AB42" i="3"/>
  <c r="V42" i="3"/>
  <c r="AB41" i="3"/>
  <c r="AB40" i="3"/>
  <c r="AB39" i="3"/>
  <c r="V39" i="3"/>
  <c r="AB38" i="3"/>
  <c r="AB37" i="3"/>
  <c r="AB36" i="3"/>
  <c r="V36" i="3"/>
  <c r="X14" i="3"/>
  <c r="W14" i="3"/>
  <c r="U14" i="3"/>
  <c r="U17" i="3"/>
  <c r="T14" i="3"/>
  <c r="S14" i="3"/>
  <c r="S17" i="3"/>
  <c r="R14" i="3"/>
  <c r="R17" i="3"/>
  <c r="Q14" i="3"/>
  <c r="Q17" i="3"/>
  <c r="P14" i="3"/>
  <c r="P17" i="3"/>
  <c r="O14" i="3"/>
  <c r="O17" i="3"/>
  <c r="X13" i="3"/>
  <c r="W13" i="3"/>
  <c r="U13" i="3"/>
  <c r="T13" i="3"/>
  <c r="S13" i="3"/>
  <c r="R13" i="3"/>
  <c r="Q13" i="3"/>
  <c r="P13" i="3"/>
  <c r="O13" i="3"/>
  <c r="X12" i="3"/>
  <c r="W12" i="3"/>
  <c r="T12" i="3"/>
  <c r="X11" i="3"/>
  <c r="W11" i="3"/>
  <c r="T11" i="3"/>
  <c r="T10" i="3"/>
  <c r="S10" i="3"/>
  <c r="R10" i="3"/>
  <c r="Q10" i="3"/>
  <c r="P10" i="3"/>
  <c r="O10" i="3"/>
  <c r="X8" i="3"/>
  <c r="W8" i="3"/>
  <c r="U8" i="3"/>
  <c r="U10" i="3" s="1"/>
  <c r="D65" i="3"/>
  <c r="D64" i="3"/>
  <c r="D63" i="3"/>
  <c r="D62" i="3"/>
  <c r="D61" i="3"/>
  <c r="D60" i="3"/>
  <c r="D59" i="3"/>
  <c r="D58" i="3"/>
  <c r="D57" i="3"/>
  <c r="T17" i="3"/>
  <c r="D45" i="3"/>
  <c r="W17" i="3"/>
  <c r="W66" i="3"/>
  <c r="X17" i="3"/>
  <c r="P65" i="3"/>
  <c r="Q64" i="3"/>
  <c r="T66" i="3"/>
  <c r="W10" i="3"/>
  <c r="O66" i="3"/>
  <c r="X10" i="3"/>
  <c r="R64" i="3"/>
  <c r="P66" i="3"/>
  <c r="Q66" i="3"/>
  <c r="R66" i="3"/>
  <c r="T67" i="3"/>
  <c r="W64" i="3"/>
  <c r="S66" i="3"/>
  <c r="D56" i="3"/>
  <c r="D54" i="3"/>
  <c r="D53" i="3"/>
  <c r="D52" i="3"/>
  <c r="D51" i="3"/>
  <c r="T65" i="3"/>
  <c r="Q65" i="3"/>
  <c r="X65" i="3"/>
  <c r="S65" i="3"/>
  <c r="W65" i="3"/>
  <c r="O65" i="3"/>
  <c r="R65" i="3"/>
  <c r="X64" i="3"/>
  <c r="AD66" i="3"/>
  <c r="X66" i="3"/>
  <c r="AD65" i="3"/>
  <c r="I56" i="3"/>
  <c r="I57" i="3"/>
  <c r="I58" i="3"/>
  <c r="I28" i="3"/>
  <c r="I36" i="3"/>
  <c r="I44" i="3"/>
  <c r="I52" i="3"/>
  <c r="I60" i="3"/>
  <c r="I68" i="3"/>
  <c r="I76" i="3"/>
  <c r="I84" i="3"/>
  <c r="I92" i="3"/>
  <c r="I100" i="3"/>
  <c r="I108" i="3"/>
  <c r="I116" i="3"/>
  <c r="I124" i="3"/>
  <c r="I132" i="3"/>
  <c r="I140" i="3"/>
  <c r="I148" i="3"/>
  <c r="I156" i="3"/>
  <c r="I61" i="3"/>
  <c r="I93" i="3"/>
  <c r="I117" i="3"/>
  <c r="I133" i="3"/>
  <c r="I149" i="3"/>
  <c r="I21" i="3"/>
  <c r="I29" i="3"/>
  <c r="I37" i="3"/>
  <c r="I45" i="3"/>
  <c r="I53" i="3"/>
  <c r="I69" i="3"/>
  <c r="I77" i="3"/>
  <c r="I85" i="3"/>
  <c r="I101" i="3"/>
  <c r="I109" i="3"/>
  <c r="I125" i="3"/>
  <c r="I141" i="3"/>
  <c r="I22" i="3"/>
  <c r="I30" i="3"/>
  <c r="I38" i="3"/>
  <c r="I46" i="3"/>
  <c r="I54" i="3"/>
  <c r="I62" i="3"/>
  <c r="I70" i="3"/>
  <c r="I78" i="3"/>
  <c r="I86" i="3"/>
  <c r="I94" i="3"/>
  <c r="I102" i="3"/>
  <c r="I110" i="3"/>
  <c r="I118" i="3"/>
  <c r="I126" i="3"/>
  <c r="I134" i="3"/>
  <c r="I142" i="3"/>
  <c r="I150" i="3"/>
  <c r="I23" i="3"/>
  <c r="I31" i="3"/>
  <c r="I39" i="3"/>
  <c r="I47" i="3"/>
  <c r="I55" i="3"/>
  <c r="I63" i="3"/>
  <c r="I71" i="3"/>
  <c r="I79" i="3"/>
  <c r="I87" i="3"/>
  <c r="I95" i="3"/>
  <c r="I103" i="3"/>
  <c r="I111" i="3"/>
  <c r="I119" i="3"/>
  <c r="I127" i="3"/>
  <c r="I135" i="3"/>
  <c r="I143" i="3"/>
  <c r="I151" i="3"/>
  <c r="I35" i="3"/>
  <c r="I51" i="3"/>
  <c r="I83" i="3"/>
  <c r="I99" i="3"/>
  <c r="I123" i="3"/>
  <c r="I147" i="3"/>
  <c r="I24" i="3"/>
  <c r="I32" i="3"/>
  <c r="I40" i="3"/>
  <c r="I48" i="3"/>
  <c r="I64" i="3"/>
  <c r="I72" i="3"/>
  <c r="I80" i="3"/>
  <c r="I88" i="3"/>
  <c r="I96" i="3"/>
  <c r="I104" i="3"/>
  <c r="I112" i="3"/>
  <c r="I120" i="3"/>
  <c r="I128" i="3"/>
  <c r="I136" i="3"/>
  <c r="I144" i="3"/>
  <c r="I152" i="3"/>
  <c r="I75" i="3"/>
  <c r="I139" i="3"/>
  <c r="I25" i="3"/>
  <c r="I33" i="3"/>
  <c r="I41" i="3"/>
  <c r="I49" i="3"/>
  <c r="I73" i="3"/>
  <c r="I81" i="3"/>
  <c r="I89" i="3"/>
  <c r="I97" i="3"/>
  <c r="I105" i="3"/>
  <c r="I113" i="3"/>
  <c r="I121" i="3"/>
  <c r="I129" i="3"/>
  <c r="I137" i="3"/>
  <c r="I145" i="3"/>
  <c r="I153" i="3"/>
  <c r="I27" i="3"/>
  <c r="I67" i="3"/>
  <c r="I115" i="3"/>
  <c r="I155" i="3"/>
  <c r="I26" i="3"/>
  <c r="I34" i="3"/>
  <c r="I42" i="3"/>
  <c r="I50" i="3"/>
  <c r="I66" i="3"/>
  <c r="I74" i="3"/>
  <c r="I82" i="3"/>
  <c r="I90" i="3"/>
  <c r="I98" i="3"/>
  <c r="I106" i="3"/>
  <c r="I114" i="3"/>
  <c r="I122" i="3"/>
  <c r="I130" i="3"/>
  <c r="I138" i="3"/>
  <c r="I146" i="3"/>
  <c r="I154" i="3"/>
  <c r="I43" i="3"/>
  <c r="I59" i="3"/>
  <c r="I91" i="3"/>
  <c r="I107" i="3"/>
  <c r="I131" i="3"/>
  <c r="O64" i="3"/>
  <c r="P64" i="3"/>
  <c r="S64" i="3"/>
  <c r="T64" i="3"/>
  <c r="Q63" i="3"/>
  <c r="O67" i="3"/>
  <c r="AD67" i="3"/>
  <c r="Q67" i="3"/>
  <c r="X67" i="3"/>
  <c r="P67" i="3"/>
  <c r="D68" i="3"/>
  <c r="S67" i="3"/>
  <c r="R67" i="3"/>
  <c r="W67" i="3"/>
  <c r="D50" i="3"/>
  <c r="D49" i="3"/>
  <c r="D48" i="3"/>
  <c r="D47" i="3"/>
  <c r="AD64" i="3"/>
  <c r="T63" i="3"/>
  <c r="X63" i="3"/>
  <c r="S63" i="3"/>
  <c r="W63" i="3"/>
  <c r="R63" i="3"/>
  <c r="O63" i="3"/>
  <c r="P63" i="3"/>
  <c r="T62" i="3"/>
  <c r="P62" i="3"/>
  <c r="O62" i="3"/>
  <c r="X62" i="3"/>
  <c r="D69" i="3"/>
  <c r="R68" i="3"/>
  <c r="O68" i="3"/>
  <c r="P68" i="3"/>
  <c r="S68" i="3"/>
  <c r="W68" i="3"/>
  <c r="T68" i="3"/>
  <c r="Q68" i="3"/>
  <c r="X68" i="3"/>
  <c r="AD63" i="3"/>
  <c r="W62" i="3"/>
  <c r="S62" i="3"/>
  <c r="R62" i="3"/>
  <c r="Q62" i="3"/>
  <c r="AD68" i="3"/>
  <c r="AD62" i="3"/>
  <c r="D70" i="3"/>
  <c r="Q69" i="3"/>
  <c r="T69" i="3"/>
  <c r="X69" i="3"/>
  <c r="O69" i="3"/>
  <c r="R69" i="3"/>
  <c r="W69" i="3"/>
  <c r="S69" i="3"/>
  <c r="P69" i="3"/>
  <c r="P61" i="3"/>
  <c r="T61" i="3"/>
  <c r="R61" i="3"/>
  <c r="X61" i="3"/>
  <c r="W61" i="3"/>
  <c r="Q61" i="3"/>
  <c r="S61" i="3"/>
  <c r="O61" i="3"/>
  <c r="AD69" i="3"/>
  <c r="AD61" i="3"/>
  <c r="T60" i="3"/>
  <c r="P60" i="3"/>
  <c r="Q60" i="3"/>
  <c r="X60" i="3"/>
  <c r="W60" i="3"/>
  <c r="S60" i="3"/>
  <c r="O60" i="3"/>
  <c r="R60" i="3"/>
  <c r="D71" i="3"/>
  <c r="T70" i="3"/>
  <c r="P70" i="3"/>
  <c r="O70" i="3"/>
  <c r="R70" i="3"/>
  <c r="X70" i="3"/>
  <c r="S70" i="3"/>
  <c r="Q70" i="3"/>
  <c r="W70" i="3"/>
  <c r="AD70" i="3"/>
  <c r="T59" i="3"/>
  <c r="P59" i="3"/>
  <c r="O59" i="3"/>
  <c r="R59" i="3"/>
  <c r="X59" i="3"/>
  <c r="S59" i="3"/>
  <c r="Q59" i="3"/>
  <c r="W59" i="3"/>
  <c r="D72" i="3"/>
  <c r="T71" i="3"/>
  <c r="P71" i="3"/>
  <c r="R71" i="3"/>
  <c r="W71" i="3"/>
  <c r="X71" i="3"/>
  <c r="S71" i="3"/>
  <c r="Q71" i="3"/>
  <c r="O71" i="3"/>
  <c r="AD60" i="3"/>
  <c r="AD71" i="3"/>
  <c r="D73" i="3"/>
  <c r="T72" i="3"/>
  <c r="P72" i="3"/>
  <c r="X72" i="3"/>
  <c r="R72" i="3"/>
  <c r="O72" i="3"/>
  <c r="W72" i="3"/>
  <c r="Q72" i="3"/>
  <c r="S72" i="3"/>
  <c r="P58" i="3"/>
  <c r="T58" i="3"/>
  <c r="S58" i="3"/>
  <c r="X58" i="3"/>
  <c r="O58" i="3"/>
  <c r="Q58" i="3"/>
  <c r="R58" i="3"/>
  <c r="W58" i="3"/>
  <c r="AD59" i="3"/>
  <c r="AD58" i="3"/>
  <c r="O57" i="3"/>
  <c r="X57" i="3"/>
  <c r="P57" i="3"/>
  <c r="R57" i="3"/>
  <c r="W57" i="3"/>
  <c r="S57" i="3"/>
  <c r="T57" i="3"/>
  <c r="Q57" i="3"/>
  <c r="AD72" i="3"/>
  <c r="D74" i="3"/>
  <c r="T73" i="3"/>
  <c r="P73" i="3"/>
  <c r="R73" i="3"/>
  <c r="O73" i="3"/>
  <c r="S73" i="3"/>
  <c r="X73" i="3"/>
  <c r="W73" i="3"/>
  <c r="Q73" i="3"/>
  <c r="AD57" i="3"/>
  <c r="AD73" i="3"/>
  <c r="D75" i="3"/>
  <c r="T74" i="3"/>
  <c r="P74" i="3"/>
  <c r="S74" i="3"/>
  <c r="W74" i="3"/>
  <c r="R74" i="3"/>
  <c r="O74" i="3"/>
  <c r="X74" i="3"/>
  <c r="Q74" i="3"/>
  <c r="W56" i="3"/>
  <c r="P56" i="3"/>
  <c r="O56" i="3"/>
  <c r="X56" i="3"/>
  <c r="Q56" i="3"/>
  <c r="S56" i="3"/>
  <c r="R56" i="3"/>
  <c r="T56" i="3"/>
  <c r="AD56" i="3"/>
  <c r="T55" i="3"/>
  <c r="X55" i="3"/>
  <c r="W55" i="3"/>
  <c r="O55" i="3"/>
  <c r="Q55" i="3"/>
  <c r="R55" i="3"/>
  <c r="P55" i="3"/>
  <c r="S55" i="3"/>
  <c r="AD74" i="3"/>
  <c r="P75" i="3"/>
  <c r="D76" i="3"/>
  <c r="T75" i="3"/>
  <c r="W75" i="3"/>
  <c r="X75" i="3"/>
  <c r="O75" i="3"/>
  <c r="S75" i="3"/>
  <c r="Q75" i="3"/>
  <c r="R75" i="3"/>
  <c r="AD75" i="3"/>
  <c r="AD55" i="3"/>
  <c r="D77" i="3"/>
  <c r="X76" i="3"/>
  <c r="R76" i="3"/>
  <c r="S76" i="3"/>
  <c r="W76" i="3"/>
  <c r="Q76" i="3"/>
  <c r="P76" i="3"/>
  <c r="T76" i="3"/>
  <c r="O76" i="3"/>
  <c r="P54" i="3"/>
  <c r="R54" i="3"/>
  <c r="S54" i="3"/>
  <c r="O54" i="3"/>
  <c r="T54" i="3"/>
  <c r="W54" i="3"/>
  <c r="Q54" i="3"/>
  <c r="X54" i="3"/>
  <c r="AD54" i="3"/>
  <c r="D78" i="3"/>
  <c r="T77" i="3"/>
  <c r="S77" i="3"/>
  <c r="W77" i="3"/>
  <c r="X77" i="3"/>
  <c r="P77" i="3"/>
  <c r="O77" i="3"/>
  <c r="Q77" i="3"/>
  <c r="R77" i="3"/>
  <c r="AD76" i="3"/>
  <c r="T53" i="3"/>
  <c r="R53" i="3"/>
  <c r="Q53" i="3"/>
  <c r="S53" i="3"/>
  <c r="O53" i="3"/>
  <c r="P53" i="3"/>
  <c r="W53" i="3"/>
  <c r="X53" i="3"/>
  <c r="AD53" i="3"/>
  <c r="D79" i="3"/>
  <c r="T78" i="3"/>
  <c r="X78" i="3"/>
  <c r="P78" i="3"/>
  <c r="W78" i="3"/>
  <c r="Q78" i="3"/>
  <c r="O78" i="3"/>
  <c r="R78" i="3"/>
  <c r="S78" i="3"/>
  <c r="T52" i="3"/>
  <c r="P52" i="3"/>
  <c r="S52" i="3"/>
  <c r="O52" i="3"/>
  <c r="R52" i="3"/>
  <c r="W52" i="3"/>
  <c r="Q52" i="3"/>
  <c r="X52" i="3"/>
  <c r="AD77" i="3"/>
  <c r="AD52" i="3"/>
  <c r="D80" i="3"/>
  <c r="X79" i="3"/>
  <c r="T79" i="3"/>
  <c r="S79" i="3"/>
  <c r="W79" i="3"/>
  <c r="Q79" i="3"/>
  <c r="O79" i="3"/>
  <c r="P79" i="3"/>
  <c r="R79" i="3"/>
  <c r="T51" i="3"/>
  <c r="S51" i="3"/>
  <c r="W51" i="3"/>
  <c r="O51" i="3"/>
  <c r="X51" i="3"/>
  <c r="P51" i="3"/>
  <c r="Q51" i="3"/>
  <c r="R51" i="3"/>
  <c r="AD78" i="3"/>
  <c r="AD79" i="3"/>
  <c r="AD51" i="3"/>
  <c r="T50" i="3"/>
  <c r="S50" i="3"/>
  <c r="P50" i="3"/>
  <c r="O50" i="3"/>
  <c r="X50" i="3"/>
  <c r="Q50" i="3"/>
  <c r="R50" i="3"/>
  <c r="W50" i="3"/>
  <c r="D81" i="3"/>
  <c r="T80" i="3"/>
  <c r="X80" i="3"/>
  <c r="W80" i="3"/>
  <c r="P80" i="3"/>
  <c r="Q80" i="3"/>
  <c r="S80" i="3"/>
  <c r="O80" i="3"/>
  <c r="R80" i="3"/>
  <c r="AD80" i="3"/>
  <c r="D82" i="3"/>
  <c r="W81" i="3"/>
  <c r="T81" i="3"/>
  <c r="O81" i="3"/>
  <c r="X81" i="3"/>
  <c r="Q81" i="3"/>
  <c r="S81" i="3"/>
  <c r="P81" i="3"/>
  <c r="R81" i="3"/>
  <c r="AD50" i="3"/>
  <c r="T49" i="3"/>
  <c r="P49" i="3"/>
  <c r="O49" i="3"/>
  <c r="R49" i="3"/>
  <c r="Q49" i="3"/>
  <c r="X49" i="3"/>
  <c r="S49" i="3"/>
  <c r="W49" i="3"/>
  <c r="AD49" i="3"/>
  <c r="T48" i="3"/>
  <c r="R48" i="3"/>
  <c r="W48" i="3"/>
  <c r="O48" i="3"/>
  <c r="P48" i="3"/>
  <c r="S48" i="3"/>
  <c r="Q48" i="3"/>
  <c r="X48" i="3"/>
  <c r="AD81" i="3"/>
  <c r="D83" i="3"/>
  <c r="X82" i="3"/>
  <c r="R82" i="3"/>
  <c r="Q82" i="3"/>
  <c r="O82" i="3"/>
  <c r="P82" i="3"/>
  <c r="T82" i="3"/>
  <c r="S82" i="3"/>
  <c r="W82" i="3"/>
  <c r="AD82" i="3"/>
  <c r="D84" i="3"/>
  <c r="T83" i="3"/>
  <c r="R83" i="3"/>
  <c r="O83" i="3"/>
  <c r="S83" i="3"/>
  <c r="X83" i="3"/>
  <c r="W83" i="3"/>
  <c r="Q83" i="3"/>
  <c r="P83" i="3"/>
  <c r="AD48" i="3"/>
  <c r="T47" i="3"/>
  <c r="P47" i="3"/>
  <c r="R47" i="3"/>
  <c r="O47" i="3"/>
  <c r="Q47" i="3"/>
  <c r="W47" i="3"/>
  <c r="S47" i="3"/>
  <c r="X47" i="3"/>
  <c r="AD47" i="3"/>
  <c r="P46" i="3"/>
  <c r="T46" i="3"/>
  <c r="X46" i="3"/>
  <c r="R46" i="3"/>
  <c r="W46" i="3"/>
  <c r="Q46" i="3"/>
  <c r="O46" i="3"/>
  <c r="S46" i="3"/>
  <c r="AD83" i="3"/>
  <c r="D85" i="3"/>
  <c r="X84" i="3"/>
  <c r="R84" i="3"/>
  <c r="W84" i="3"/>
  <c r="O84" i="3"/>
  <c r="T84" i="3"/>
  <c r="Q84" i="3"/>
  <c r="P84" i="3"/>
  <c r="S84" i="3"/>
  <c r="AD46" i="3"/>
  <c r="D86" i="3"/>
  <c r="T85" i="3"/>
  <c r="R85" i="3"/>
  <c r="W85" i="3"/>
  <c r="O85" i="3"/>
  <c r="P85" i="3"/>
  <c r="X85" i="3"/>
  <c r="S85" i="3"/>
  <c r="Q85" i="3"/>
  <c r="AD84" i="3"/>
  <c r="AD85" i="3"/>
  <c r="D87" i="3"/>
  <c r="P86" i="3"/>
  <c r="W86" i="3"/>
  <c r="Q86" i="3"/>
  <c r="X86" i="3"/>
  <c r="O86" i="3"/>
  <c r="R86" i="3"/>
  <c r="T86" i="3"/>
  <c r="S86" i="3"/>
  <c r="AD86" i="3"/>
  <c r="D88" i="3"/>
  <c r="R87" i="3"/>
  <c r="X87" i="3"/>
  <c r="P87" i="3"/>
  <c r="S87" i="3"/>
  <c r="T87" i="3"/>
  <c r="W87" i="3"/>
  <c r="O87" i="3"/>
  <c r="Q87" i="3"/>
  <c r="AD87" i="3"/>
  <c r="D89" i="3"/>
  <c r="R88" i="3"/>
  <c r="O88" i="3"/>
  <c r="T88" i="3"/>
  <c r="S88" i="3"/>
  <c r="W88" i="3"/>
  <c r="Q88" i="3"/>
  <c r="P88" i="3"/>
  <c r="X88" i="3"/>
  <c r="AD88" i="3"/>
  <c r="D90" i="3"/>
  <c r="T89" i="3"/>
  <c r="R89" i="3"/>
  <c r="Q89" i="3"/>
  <c r="P89" i="3"/>
  <c r="O89" i="3"/>
  <c r="S89" i="3"/>
  <c r="W89" i="3"/>
  <c r="X89" i="3"/>
  <c r="AD89" i="3"/>
  <c r="D91" i="3"/>
  <c r="X90" i="3"/>
  <c r="R90" i="3"/>
  <c r="T90" i="3"/>
  <c r="P90" i="3"/>
  <c r="W90" i="3"/>
  <c r="Q90" i="3"/>
  <c r="O90" i="3"/>
  <c r="S90" i="3"/>
  <c r="AD90" i="3"/>
  <c r="D92" i="3"/>
  <c r="X91" i="3"/>
  <c r="T91" i="3"/>
  <c r="W91" i="3"/>
  <c r="R91" i="3"/>
  <c r="S91" i="3"/>
  <c r="O91" i="3"/>
  <c r="P91" i="3"/>
  <c r="Q91" i="3"/>
  <c r="AD91" i="3"/>
  <c r="D93" i="3"/>
  <c r="P92" i="3"/>
  <c r="R92" i="3"/>
  <c r="T92" i="3"/>
  <c r="S92" i="3"/>
  <c r="O92" i="3"/>
  <c r="Q92" i="3"/>
  <c r="W92" i="3"/>
  <c r="X92" i="3"/>
  <c r="AD92" i="3"/>
  <c r="D94" i="3"/>
  <c r="X93" i="3"/>
  <c r="W93" i="3"/>
  <c r="P93" i="3"/>
  <c r="R93" i="3"/>
  <c r="T93" i="3"/>
  <c r="AD93" i="3"/>
  <c r="Q93" i="3"/>
  <c r="S93" i="3"/>
  <c r="O93" i="3"/>
  <c r="D95" i="3"/>
  <c r="R94" i="3"/>
  <c r="X94" i="3"/>
  <c r="T94" i="3"/>
  <c r="S94" i="3"/>
  <c r="O94" i="3"/>
  <c r="W94" i="3"/>
  <c r="Q94" i="3"/>
  <c r="P94" i="3"/>
  <c r="AD94" i="3"/>
  <c r="D96" i="3"/>
  <c r="R95" i="3"/>
  <c r="O95" i="3"/>
  <c r="Q95" i="3"/>
  <c r="W95" i="3"/>
  <c r="P95" i="3"/>
  <c r="X95" i="3"/>
  <c r="T95" i="3"/>
  <c r="S95" i="3"/>
  <c r="AD95" i="3"/>
  <c r="D97" i="3"/>
  <c r="T96" i="3"/>
  <c r="W96" i="3"/>
  <c r="R96" i="3"/>
  <c r="X96" i="3"/>
  <c r="O96" i="3"/>
  <c r="Q96" i="3"/>
  <c r="S96" i="3"/>
  <c r="P96" i="3"/>
  <c r="AD96" i="3"/>
  <c r="D98" i="3"/>
  <c r="W97" i="3"/>
  <c r="O97" i="3"/>
  <c r="Q97" i="3"/>
  <c r="X97" i="3"/>
  <c r="R97" i="3"/>
  <c r="T97" i="3"/>
  <c r="P97" i="3"/>
  <c r="S97" i="3"/>
  <c r="AD97" i="3"/>
  <c r="D99" i="3"/>
  <c r="W98" i="3"/>
  <c r="O98" i="3"/>
  <c r="X98" i="3"/>
  <c r="T98" i="3"/>
  <c r="Q98" i="3"/>
  <c r="S98" i="3"/>
  <c r="R98" i="3"/>
  <c r="P98" i="3"/>
  <c r="AD98" i="3"/>
  <c r="D100" i="3"/>
  <c r="W99" i="3"/>
  <c r="T99" i="3"/>
  <c r="R99" i="3"/>
  <c r="P99" i="3"/>
  <c r="O99" i="3"/>
  <c r="Q99" i="3"/>
  <c r="X99" i="3"/>
  <c r="S99" i="3"/>
  <c r="AD99" i="3"/>
  <c r="D101" i="3"/>
  <c r="T100" i="3"/>
  <c r="O100" i="3"/>
  <c r="Q100" i="3"/>
  <c r="W100" i="3"/>
  <c r="X100" i="3"/>
  <c r="R100" i="3"/>
  <c r="S100" i="3"/>
  <c r="P100" i="3"/>
  <c r="AD100" i="3"/>
  <c r="D102" i="3"/>
  <c r="X101" i="3"/>
  <c r="W101" i="3"/>
  <c r="O101" i="3"/>
  <c r="P101" i="3"/>
  <c r="Q101" i="3"/>
  <c r="R101" i="3"/>
  <c r="T101" i="3"/>
  <c r="S101" i="3"/>
  <c r="AD101" i="3"/>
  <c r="D103" i="3"/>
  <c r="T102" i="3"/>
  <c r="S102" i="3"/>
  <c r="Q102" i="3"/>
  <c r="X102" i="3"/>
  <c r="O102" i="3"/>
  <c r="P102" i="3"/>
  <c r="R102" i="3"/>
  <c r="W102" i="3"/>
  <c r="AD102" i="3"/>
  <c r="D104" i="3"/>
  <c r="T103" i="3"/>
  <c r="X103" i="3"/>
  <c r="W103" i="3"/>
  <c r="R103" i="3"/>
  <c r="Q103" i="3"/>
  <c r="P103" i="3"/>
  <c r="O103" i="3"/>
  <c r="S103" i="3"/>
  <c r="AD103" i="3"/>
  <c r="D105" i="3"/>
  <c r="T104" i="3"/>
  <c r="Q104" i="3"/>
  <c r="P104" i="3"/>
  <c r="O104" i="3"/>
  <c r="S104" i="3"/>
  <c r="R104" i="3"/>
  <c r="X104" i="3"/>
  <c r="W104" i="3"/>
  <c r="AD104" i="3"/>
  <c r="D106" i="3"/>
  <c r="P105" i="3"/>
  <c r="T105" i="3"/>
  <c r="X105" i="3"/>
  <c r="Q105" i="3"/>
  <c r="R105" i="3"/>
  <c r="O105" i="3"/>
  <c r="S105" i="3"/>
  <c r="W105" i="3"/>
  <c r="AD105" i="3"/>
  <c r="P106" i="3"/>
  <c r="D107" i="3"/>
  <c r="T106" i="3"/>
  <c r="W106" i="3"/>
  <c r="R106" i="3"/>
  <c r="X106" i="3"/>
  <c r="O106" i="3"/>
  <c r="S106" i="3"/>
  <c r="Q106" i="3"/>
  <c r="AD106" i="3"/>
  <c r="D108" i="3"/>
  <c r="P107" i="3"/>
  <c r="X107" i="3"/>
  <c r="Q107" i="3"/>
  <c r="S107" i="3"/>
  <c r="W107" i="3"/>
  <c r="O107" i="3"/>
  <c r="T107" i="3"/>
  <c r="R107" i="3"/>
  <c r="AD107" i="3"/>
  <c r="D109" i="3"/>
  <c r="T108" i="3"/>
  <c r="X108" i="3"/>
  <c r="P108" i="3"/>
  <c r="R108" i="3"/>
  <c r="O108" i="3"/>
  <c r="S108" i="3"/>
  <c r="W108" i="3"/>
  <c r="Q108" i="3"/>
  <c r="AD108" i="3"/>
  <c r="D110" i="3"/>
  <c r="X109" i="3"/>
  <c r="R109" i="3"/>
  <c r="T109" i="3"/>
  <c r="Q109" i="3"/>
  <c r="O109" i="3"/>
  <c r="P109" i="3"/>
  <c r="W109" i="3"/>
  <c r="S109" i="3"/>
  <c r="AD109" i="3"/>
  <c r="D111" i="3"/>
  <c r="T110" i="3"/>
  <c r="R110" i="3"/>
  <c r="X110" i="3"/>
  <c r="O110" i="3"/>
  <c r="P110" i="3"/>
  <c r="S110" i="3"/>
  <c r="Q110" i="3"/>
  <c r="W110" i="3"/>
  <c r="AD110" i="3"/>
  <c r="D112" i="3"/>
  <c r="W111" i="3"/>
  <c r="T111" i="3"/>
  <c r="O111" i="3"/>
  <c r="S111" i="3"/>
  <c r="P111" i="3"/>
  <c r="R111" i="3"/>
  <c r="X111" i="3"/>
  <c r="Q111" i="3"/>
  <c r="AD111" i="3"/>
  <c r="D113" i="3"/>
  <c r="P112" i="3"/>
  <c r="X112" i="3"/>
  <c r="W112" i="3"/>
  <c r="O112" i="3"/>
  <c r="Q112" i="3"/>
  <c r="R112" i="3"/>
  <c r="T112" i="3"/>
  <c r="S112" i="3"/>
  <c r="AD112" i="3"/>
  <c r="D114" i="3"/>
  <c r="W113" i="3"/>
  <c r="X113" i="3"/>
  <c r="S113" i="3"/>
  <c r="Q113" i="3"/>
  <c r="T113" i="3"/>
  <c r="O113" i="3"/>
  <c r="P113" i="3"/>
  <c r="R113" i="3"/>
  <c r="AD113" i="3"/>
  <c r="D115" i="3"/>
  <c r="T114" i="3"/>
  <c r="W114" i="3"/>
  <c r="O114" i="3"/>
  <c r="R114" i="3"/>
  <c r="X114" i="3"/>
  <c r="P114" i="3"/>
  <c r="Q114" i="3"/>
  <c r="S114" i="3"/>
  <c r="AD114" i="3"/>
  <c r="D116" i="3"/>
  <c r="Q115" i="3"/>
  <c r="T115" i="3"/>
  <c r="W115" i="3"/>
  <c r="O115" i="3"/>
  <c r="R115" i="3"/>
  <c r="X115" i="3"/>
  <c r="S115" i="3"/>
  <c r="P115" i="3"/>
  <c r="AD115" i="3"/>
  <c r="D117" i="3"/>
  <c r="R116" i="3"/>
  <c r="W116" i="3"/>
  <c r="X116" i="3"/>
  <c r="T116" i="3"/>
  <c r="AD116" i="3"/>
  <c r="Q116" i="3"/>
  <c r="P116" i="3"/>
  <c r="O116" i="3"/>
  <c r="S116" i="3"/>
  <c r="D118" i="3"/>
  <c r="P117" i="3"/>
  <c r="R117" i="3"/>
  <c r="W117" i="3"/>
  <c r="X117" i="3"/>
  <c r="T117" i="3"/>
  <c r="Q117" i="3"/>
  <c r="O117" i="3"/>
  <c r="S117" i="3"/>
  <c r="AD117" i="3"/>
  <c r="D119" i="3"/>
  <c r="T118" i="3"/>
  <c r="S118" i="3"/>
  <c r="W118" i="3"/>
  <c r="R118" i="3"/>
  <c r="O118" i="3"/>
  <c r="Q118" i="3"/>
  <c r="X118" i="3"/>
  <c r="P118" i="3"/>
  <c r="AD118" i="3"/>
  <c r="D120" i="3"/>
  <c r="W119" i="3"/>
  <c r="Q119" i="3"/>
  <c r="O119" i="3"/>
  <c r="S119" i="3"/>
  <c r="T119" i="3"/>
  <c r="R119" i="3"/>
  <c r="X119" i="3"/>
  <c r="P119" i="3"/>
  <c r="AD119" i="3"/>
  <c r="D121" i="3"/>
  <c r="R120" i="3"/>
  <c r="O120" i="3"/>
  <c r="S120" i="3"/>
  <c r="T120" i="3"/>
  <c r="W120" i="3"/>
  <c r="X120" i="3"/>
  <c r="Q120" i="3"/>
  <c r="P120" i="3"/>
  <c r="AD120" i="3"/>
  <c r="D122" i="3"/>
  <c r="R121" i="3"/>
  <c r="X121" i="3"/>
  <c r="P121" i="3"/>
  <c r="T121" i="3"/>
  <c r="Q121" i="3"/>
  <c r="W121" i="3"/>
  <c r="O121" i="3"/>
  <c r="S121" i="3"/>
  <c r="AD121" i="3"/>
  <c r="D123" i="3"/>
  <c r="P122" i="3"/>
  <c r="T122" i="3"/>
  <c r="W122" i="3"/>
  <c r="Q122" i="3"/>
  <c r="S122" i="3"/>
  <c r="X122" i="3"/>
  <c r="R122" i="3"/>
  <c r="O122" i="3"/>
  <c r="AD122" i="3"/>
  <c r="D124" i="3"/>
  <c r="O123" i="3"/>
  <c r="T123" i="3"/>
  <c r="AD123" i="3"/>
  <c r="S123" i="3"/>
  <c r="X123" i="3"/>
  <c r="W123" i="3"/>
  <c r="Q123" i="3"/>
  <c r="R123" i="3"/>
  <c r="P123" i="3"/>
  <c r="D125" i="3"/>
  <c r="T124" i="3"/>
  <c r="R124" i="3"/>
  <c r="P124" i="3"/>
  <c r="X124" i="3"/>
  <c r="S124" i="3"/>
  <c r="O124" i="3"/>
  <c r="Q124" i="3"/>
  <c r="W124" i="3"/>
  <c r="AD124" i="3"/>
  <c r="D126" i="3"/>
  <c r="P125" i="3"/>
  <c r="T125" i="3"/>
  <c r="R125" i="3"/>
  <c r="X125" i="3"/>
  <c r="W125" i="3"/>
  <c r="S125" i="3"/>
  <c r="O125" i="3"/>
  <c r="Q125" i="3"/>
  <c r="AD125" i="3"/>
  <c r="D127" i="3"/>
  <c r="W126" i="3"/>
  <c r="X126" i="3"/>
  <c r="O126" i="3"/>
  <c r="T126" i="3"/>
  <c r="P126" i="3"/>
  <c r="Q126" i="3"/>
  <c r="R126" i="3"/>
  <c r="S126" i="3"/>
  <c r="AD126" i="3"/>
  <c r="D128" i="3"/>
  <c r="R127" i="3"/>
  <c r="O127" i="3"/>
  <c r="T127" i="3"/>
  <c r="W127" i="3"/>
  <c r="X127" i="3"/>
  <c r="Q127" i="3"/>
  <c r="P127" i="3"/>
  <c r="S127" i="3"/>
  <c r="AD127" i="3"/>
  <c r="D129" i="3"/>
  <c r="R128" i="3"/>
  <c r="T128" i="3"/>
  <c r="P128" i="3"/>
  <c r="X128" i="3"/>
  <c r="W128" i="3"/>
  <c r="Q128" i="3"/>
  <c r="S128" i="3"/>
  <c r="O128" i="3"/>
  <c r="AD128" i="3"/>
  <c r="D130" i="3"/>
  <c r="O129" i="3"/>
  <c r="T129" i="3"/>
  <c r="Q129" i="3"/>
  <c r="R129" i="3"/>
  <c r="P129" i="3"/>
  <c r="S129" i="3"/>
  <c r="X129" i="3"/>
  <c r="W129" i="3"/>
  <c r="AD129" i="3"/>
  <c r="D131" i="3"/>
  <c r="R130" i="3"/>
  <c r="X130" i="3"/>
  <c r="O130" i="3"/>
  <c r="S130" i="3"/>
  <c r="T130" i="3"/>
  <c r="AD130" i="3"/>
  <c r="P130" i="3"/>
  <c r="Q130" i="3"/>
  <c r="W130" i="3"/>
  <c r="D132" i="3"/>
  <c r="W131" i="3"/>
  <c r="T131" i="3"/>
  <c r="X131" i="3"/>
  <c r="S131" i="3"/>
  <c r="Q131" i="3"/>
  <c r="O131" i="3"/>
  <c r="P131" i="3"/>
  <c r="R131" i="3"/>
  <c r="AD131" i="3"/>
  <c r="D133" i="3"/>
  <c r="P132" i="3"/>
  <c r="R132" i="3"/>
  <c r="T132" i="3"/>
  <c r="W132" i="3"/>
  <c r="S132" i="3"/>
  <c r="O132" i="3"/>
  <c r="Q132" i="3"/>
  <c r="X132" i="3"/>
  <c r="AD132" i="3"/>
  <c r="D134" i="3"/>
  <c r="X133" i="3"/>
  <c r="R133" i="3"/>
  <c r="W133" i="3"/>
  <c r="O133" i="3"/>
  <c r="P133" i="3"/>
  <c r="Q133" i="3"/>
  <c r="T133" i="3"/>
  <c r="S133" i="3"/>
  <c r="AD133" i="3"/>
  <c r="D135" i="3"/>
  <c r="R134" i="3"/>
  <c r="P134" i="3"/>
  <c r="W134" i="3"/>
  <c r="T134" i="3"/>
  <c r="AD134" i="3"/>
  <c r="X134" i="3"/>
  <c r="S134" i="3"/>
  <c r="O134" i="3"/>
  <c r="Q134" i="3"/>
  <c r="D136" i="3"/>
  <c r="R135" i="3"/>
  <c r="O135" i="3"/>
  <c r="Q135" i="3"/>
  <c r="T135" i="3"/>
  <c r="AD135" i="3"/>
  <c r="W135" i="3"/>
  <c r="X135" i="3"/>
  <c r="S135" i="3"/>
  <c r="P135" i="3"/>
  <c r="D137" i="3"/>
  <c r="W136" i="3"/>
  <c r="X136" i="3"/>
  <c r="P136" i="3"/>
  <c r="S136" i="3"/>
  <c r="R136" i="3"/>
  <c r="T136" i="3"/>
  <c r="AD136" i="3"/>
  <c r="O136" i="3"/>
  <c r="Q136" i="3"/>
  <c r="D138" i="3"/>
  <c r="T137" i="3"/>
  <c r="Q137" i="3"/>
  <c r="O137" i="3"/>
  <c r="W137" i="3"/>
  <c r="P137" i="3"/>
  <c r="R137" i="3"/>
  <c r="X137" i="3"/>
  <c r="S137" i="3"/>
  <c r="AD137" i="3"/>
  <c r="D139" i="3"/>
  <c r="W138" i="3"/>
  <c r="O138" i="3"/>
  <c r="Q138" i="3"/>
  <c r="R138" i="3"/>
  <c r="S138" i="3"/>
  <c r="X138" i="3"/>
  <c r="T138" i="3"/>
  <c r="P138" i="3"/>
  <c r="AD138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T139" i="3"/>
  <c r="P139" i="3"/>
  <c r="X139" i="3"/>
  <c r="R139" i="3"/>
  <c r="W139" i="3"/>
  <c r="Q139" i="3"/>
  <c r="O139" i="3"/>
  <c r="S139" i="3"/>
  <c r="AD139" i="3"/>
  <c r="W140" i="3"/>
  <c r="Q140" i="3"/>
  <c r="R140" i="3"/>
  <c r="P140" i="3"/>
  <c r="O140" i="3"/>
  <c r="S140" i="3"/>
  <c r="T140" i="3"/>
  <c r="X140" i="3"/>
  <c r="AD140" i="3"/>
  <c r="X141" i="3"/>
  <c r="T141" i="3"/>
  <c r="O141" i="3"/>
  <c r="R141" i="3"/>
  <c r="Q141" i="3"/>
  <c r="S141" i="3"/>
  <c r="W141" i="3"/>
  <c r="P141" i="3"/>
  <c r="AD141" i="3"/>
  <c r="T45" i="3"/>
  <c r="D44" i="3"/>
  <c r="S44" i="3"/>
  <c r="O45" i="3"/>
  <c r="Q45" i="3"/>
  <c r="X45" i="3"/>
  <c r="W45" i="3"/>
  <c r="P45" i="3"/>
  <c r="S45" i="3"/>
  <c r="R45" i="3"/>
  <c r="O44" i="3"/>
  <c r="R44" i="3"/>
  <c r="AD45" i="3"/>
  <c r="D43" i="3"/>
  <c r="Q44" i="3"/>
  <c r="W44" i="3"/>
  <c r="T44" i="3"/>
  <c r="AD44" i="3"/>
  <c r="P44" i="3"/>
  <c r="X44" i="3"/>
  <c r="R43" i="3"/>
  <c r="D42" i="3"/>
  <c r="X43" i="3"/>
  <c r="Q43" i="3"/>
  <c r="T43" i="3"/>
  <c r="S43" i="3"/>
  <c r="W43" i="3"/>
  <c r="P43" i="3"/>
  <c r="O43" i="3"/>
  <c r="AD43" i="3"/>
  <c r="R42" i="3"/>
  <c r="D41" i="3"/>
  <c r="T42" i="3"/>
  <c r="S42" i="3"/>
  <c r="W42" i="3"/>
  <c r="P42" i="3"/>
  <c r="Q42" i="3"/>
  <c r="O42" i="3"/>
  <c r="X42" i="3"/>
  <c r="AD42" i="3"/>
  <c r="Q41" i="3"/>
  <c r="X41" i="3"/>
  <c r="D40" i="3"/>
  <c r="T41" i="3"/>
  <c r="S41" i="3"/>
  <c r="W41" i="3"/>
  <c r="O41" i="3"/>
  <c r="R41" i="3"/>
  <c r="P41" i="3"/>
  <c r="AD41" i="3"/>
  <c r="Q40" i="3"/>
  <c r="O40" i="3"/>
  <c r="R40" i="3"/>
  <c r="S40" i="3"/>
  <c r="D39" i="3"/>
  <c r="W40" i="3"/>
  <c r="X40" i="3"/>
  <c r="T40" i="3"/>
  <c r="AD40" i="3"/>
  <c r="P40" i="3"/>
  <c r="Q39" i="3"/>
  <c r="D38" i="3"/>
  <c r="S39" i="3"/>
  <c r="R39" i="3"/>
  <c r="X39" i="3"/>
  <c r="W39" i="3"/>
  <c r="O39" i="3"/>
  <c r="P39" i="3"/>
  <c r="T39" i="3"/>
  <c r="AD39" i="3"/>
  <c r="X38" i="3"/>
  <c r="O38" i="3"/>
  <c r="Q38" i="3"/>
  <c r="S38" i="3"/>
  <c r="P38" i="3"/>
  <c r="R38" i="3"/>
  <c r="D37" i="3"/>
  <c r="T38" i="3"/>
  <c r="W38" i="3"/>
  <c r="X37" i="3"/>
  <c r="Q37" i="3"/>
  <c r="S37" i="3"/>
  <c r="R37" i="3"/>
  <c r="P37" i="3"/>
  <c r="D36" i="3"/>
  <c r="D35" i="3"/>
  <c r="D34" i="3"/>
  <c r="W37" i="3"/>
  <c r="T37" i="3"/>
  <c r="O37" i="3"/>
  <c r="AD38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W36" i="3"/>
  <c r="T36" i="3"/>
  <c r="X36" i="3"/>
  <c r="P36" i="3"/>
  <c r="R36" i="3"/>
  <c r="O36" i="3"/>
  <c r="Q36" i="3"/>
  <c r="S36" i="3"/>
  <c r="AD37" i="3"/>
  <c r="J20" i="3"/>
  <c r="D20" i="3"/>
  <c r="AD36" i="3"/>
  <c r="AD19" i="11" l="1"/>
  <c r="AG70" i="11"/>
  <c r="AG20" i="11"/>
  <c r="AG22" i="11"/>
  <c r="AG13" i="11"/>
  <c r="AG14" i="11"/>
  <c r="AG49" i="11"/>
  <c r="AG50" i="11"/>
  <c r="AG40" i="11"/>
  <c r="AG36" i="11"/>
  <c r="AG74" i="11"/>
  <c r="AG7" i="11"/>
  <c r="AG8" i="11"/>
  <c r="AG28" i="11"/>
  <c r="AG56" i="11"/>
  <c r="AG42" i="11"/>
  <c r="AG45" i="11"/>
  <c r="AG58" i="11"/>
  <c r="AG26" i="11"/>
  <c r="AG53" i="11"/>
  <c r="AG67" i="11"/>
  <c r="AG62" i="11"/>
  <c r="AG12" i="11"/>
  <c r="AG24" i="11"/>
  <c r="AG46" i="11"/>
  <c r="AG33" i="11"/>
  <c r="AG61" i="11"/>
  <c r="AG66" i="11"/>
  <c r="AG60" i="11"/>
  <c r="AG72" i="11"/>
  <c r="AG55" i="11"/>
  <c r="AG39" i="11"/>
  <c r="AG44" i="11"/>
  <c r="AG35" i="11"/>
  <c r="AG71" i="11"/>
  <c r="AG52" i="11"/>
  <c r="AG10" i="11"/>
  <c r="AG15" i="11"/>
  <c r="AG51" i="11"/>
  <c r="AG41" i="11"/>
  <c r="AG17" i="11"/>
  <c r="AG31" i="11"/>
  <c r="AG11" i="11"/>
  <c r="AG34" i="11"/>
  <c r="AG69" i="11"/>
  <c r="AG59" i="11"/>
  <c r="AG19" i="11"/>
  <c r="AG27" i="11"/>
  <c r="AG57" i="11"/>
  <c r="AG16" i="11"/>
  <c r="AG48" i="11"/>
  <c r="AG32" i="11"/>
  <c r="AG21" i="11"/>
  <c r="AG47" i="11"/>
  <c r="AG54" i="11"/>
  <c r="AG25" i="11"/>
  <c r="AG29" i="11"/>
  <c r="AG76" i="11"/>
  <c r="AG30" i="11"/>
  <c r="AG23" i="11"/>
  <c r="AG18" i="11"/>
  <c r="AG63" i="11"/>
  <c r="AG75" i="11"/>
  <c r="AG65" i="11"/>
  <c r="AG73" i="11"/>
  <c r="AG64" i="11"/>
  <c r="AG68" i="11"/>
  <c r="AG43" i="11"/>
  <c r="AG9" i="11"/>
  <c r="AG77" i="11"/>
  <c r="G146" i="3"/>
  <c r="AD37" i="11"/>
  <c r="U47" i="11"/>
  <c r="U74" i="11"/>
  <c r="R52" i="11"/>
  <c r="W52" i="11" s="1"/>
  <c r="V52" i="11" s="1"/>
  <c r="R58" i="11"/>
  <c r="W58" i="11" s="1"/>
  <c r="V58" i="11" s="1"/>
  <c r="R12" i="11"/>
  <c r="W12" i="11" s="1"/>
  <c r="V12" i="11" s="1"/>
  <c r="R35" i="11"/>
  <c r="W35" i="11" s="1"/>
  <c r="V35" i="11" s="1"/>
  <c r="R24" i="11"/>
  <c r="W24" i="11" s="1"/>
  <c r="V24" i="11" s="1"/>
  <c r="R54" i="11"/>
  <c r="W54" i="11" s="1"/>
  <c r="V54" i="11" s="1"/>
  <c r="AD65" i="11"/>
  <c r="U68" i="11"/>
  <c r="R38" i="11"/>
  <c r="W38" i="11" s="1"/>
  <c r="R9" i="11"/>
  <c r="W9" i="11" s="1"/>
  <c r="R23" i="11"/>
  <c r="W23" i="11" s="1"/>
  <c r="V23" i="11" s="1"/>
  <c r="R32" i="11"/>
  <c r="W32" i="11" s="1"/>
  <c r="V32" i="11" s="1"/>
  <c r="AD70" i="11"/>
  <c r="AG37" i="11"/>
  <c r="G32" i="3"/>
  <c r="G97" i="3"/>
  <c r="G26" i="3"/>
  <c r="G91" i="3"/>
  <c r="G155" i="3"/>
  <c r="G84" i="3"/>
  <c r="G148" i="3"/>
  <c r="F83" i="3"/>
  <c r="F147" i="3"/>
  <c r="G68" i="3"/>
  <c r="G133" i="3"/>
  <c r="G53" i="3"/>
  <c r="G126" i="3"/>
  <c r="G54" i="3"/>
  <c r="G119" i="3"/>
  <c r="F45" i="3"/>
  <c r="F110" i="3"/>
  <c r="G39" i="3"/>
  <c r="G104" i="3"/>
  <c r="G65" i="3"/>
  <c r="F89" i="3"/>
  <c r="G130" i="3"/>
  <c r="F80" i="3"/>
  <c r="G90" i="3"/>
  <c r="F51" i="3"/>
  <c r="F137" i="3"/>
  <c r="F43" i="3"/>
  <c r="F129" i="3"/>
  <c r="F125" i="3"/>
  <c r="F149" i="3"/>
  <c r="F25" i="3"/>
  <c r="F117" i="3"/>
  <c r="F81" i="3"/>
  <c r="F144" i="3"/>
  <c r="I19" i="3"/>
  <c r="F26" i="3"/>
  <c r="G48" i="3"/>
  <c r="G113" i="3"/>
  <c r="G42" i="3"/>
  <c r="G107" i="3"/>
  <c r="G35" i="3"/>
  <c r="G100" i="3"/>
  <c r="F34" i="3"/>
  <c r="F99" i="3"/>
  <c r="G20" i="3"/>
  <c r="G85" i="3"/>
  <c r="G149" i="3"/>
  <c r="G69" i="3"/>
  <c r="G142" i="3"/>
  <c r="G70" i="3"/>
  <c r="G135" i="3"/>
  <c r="F61" i="3"/>
  <c r="F126" i="3"/>
  <c r="G55" i="3"/>
  <c r="G120" i="3"/>
  <c r="F24" i="3"/>
  <c r="F111" i="3"/>
  <c r="G138" i="3"/>
  <c r="F103" i="3"/>
  <c r="G25" i="3"/>
  <c r="F72" i="3"/>
  <c r="G41" i="3"/>
  <c r="F64" i="3"/>
  <c r="F151" i="3"/>
  <c r="F20" i="3"/>
  <c r="F44" i="3"/>
  <c r="F68" i="3"/>
  <c r="F28" i="3"/>
  <c r="F55" i="3"/>
  <c r="F57" i="3"/>
  <c r="J19" i="3"/>
  <c r="G56" i="3"/>
  <c r="G121" i="3"/>
  <c r="G50" i="3"/>
  <c r="G115" i="3"/>
  <c r="G43" i="3"/>
  <c r="G108" i="3"/>
  <c r="F42" i="3"/>
  <c r="F107" i="3"/>
  <c r="G28" i="3"/>
  <c r="G93" i="3"/>
  <c r="G81" i="3"/>
  <c r="G77" i="3"/>
  <c r="G150" i="3"/>
  <c r="G78" i="3"/>
  <c r="G143" i="3"/>
  <c r="F69" i="3"/>
  <c r="F134" i="3"/>
  <c r="G63" i="3"/>
  <c r="G128" i="3"/>
  <c r="F35" i="3"/>
  <c r="F121" i="3"/>
  <c r="F27" i="3"/>
  <c r="F113" i="3"/>
  <c r="G33" i="3"/>
  <c r="F84" i="3"/>
  <c r="G106" i="3"/>
  <c r="F75" i="3"/>
  <c r="G118" i="3"/>
  <c r="F41" i="3"/>
  <c r="F65" i="3"/>
  <c r="F90" i="3"/>
  <c r="F49" i="3"/>
  <c r="F76" i="3"/>
  <c r="F73" i="3"/>
  <c r="G64" i="3"/>
  <c r="G129" i="3"/>
  <c r="G58" i="3"/>
  <c r="G123" i="3"/>
  <c r="G51" i="3"/>
  <c r="G116" i="3"/>
  <c r="F50" i="3"/>
  <c r="F115" i="3"/>
  <c r="G36" i="3"/>
  <c r="G101" i="3"/>
  <c r="G21" i="3"/>
  <c r="G86" i="3"/>
  <c r="G22" i="3"/>
  <c r="G87" i="3"/>
  <c r="G151" i="3"/>
  <c r="F77" i="3"/>
  <c r="F142" i="3"/>
  <c r="G71" i="3"/>
  <c r="G136" i="3"/>
  <c r="F46" i="3"/>
  <c r="F132" i="3"/>
  <c r="F38" i="3"/>
  <c r="F124" i="3"/>
  <c r="G98" i="3"/>
  <c r="F95" i="3"/>
  <c r="G49" i="3"/>
  <c r="F87" i="3"/>
  <c r="F39" i="3"/>
  <c r="F63" i="3"/>
  <c r="F88" i="3"/>
  <c r="F112" i="3"/>
  <c r="F71" i="3"/>
  <c r="F98" i="3"/>
  <c r="F79" i="3"/>
  <c r="G72" i="3"/>
  <c r="G137" i="3"/>
  <c r="G66" i="3"/>
  <c r="G131" i="3"/>
  <c r="G59" i="3"/>
  <c r="G124" i="3"/>
  <c r="F58" i="3"/>
  <c r="F123" i="3"/>
  <c r="G44" i="3"/>
  <c r="G109" i="3"/>
  <c r="G29" i="3"/>
  <c r="G94" i="3"/>
  <c r="G30" i="3"/>
  <c r="G95" i="3"/>
  <c r="F21" i="3"/>
  <c r="F86" i="3"/>
  <c r="F150" i="3"/>
  <c r="G79" i="3"/>
  <c r="G144" i="3"/>
  <c r="F56" i="3"/>
  <c r="F143" i="3"/>
  <c r="F48" i="3"/>
  <c r="F135" i="3"/>
  <c r="G154" i="3"/>
  <c r="F105" i="3"/>
  <c r="G114" i="3"/>
  <c r="F97" i="3"/>
  <c r="F60" i="3"/>
  <c r="F85" i="3"/>
  <c r="F109" i="3"/>
  <c r="F133" i="3"/>
  <c r="F93" i="3"/>
  <c r="F120" i="3"/>
  <c r="F122" i="3"/>
  <c r="G80" i="3"/>
  <c r="G145" i="3"/>
  <c r="G74" i="3"/>
  <c r="G139" i="3"/>
  <c r="G67" i="3"/>
  <c r="G132" i="3"/>
  <c r="F66" i="3"/>
  <c r="F131" i="3"/>
  <c r="G52" i="3"/>
  <c r="G117" i="3"/>
  <c r="G37" i="3"/>
  <c r="G102" i="3"/>
  <c r="G38" i="3"/>
  <c r="G103" i="3"/>
  <c r="F29" i="3"/>
  <c r="F94" i="3"/>
  <c r="G23" i="3"/>
  <c r="G88" i="3"/>
  <c r="G152" i="3"/>
  <c r="F67" i="3"/>
  <c r="F153" i="3"/>
  <c r="F59" i="3"/>
  <c r="F145" i="3"/>
  <c r="F30" i="3"/>
  <c r="F116" i="3"/>
  <c r="F22" i="3"/>
  <c r="F108" i="3"/>
  <c r="F82" i="3"/>
  <c r="F106" i="3"/>
  <c r="F130" i="3"/>
  <c r="F154" i="3"/>
  <c r="F114" i="3"/>
  <c r="F141" i="3"/>
  <c r="AG38" i="11"/>
  <c r="U66" i="3"/>
  <c r="U59" i="3"/>
  <c r="U57" i="3"/>
  <c r="U75" i="3"/>
  <c r="U46" i="3"/>
  <c r="U104" i="3"/>
  <c r="U125" i="3"/>
  <c r="U45" i="3"/>
  <c r="U68" i="3"/>
  <c r="U73" i="3"/>
  <c r="U92" i="3"/>
  <c r="U102" i="3"/>
  <c r="U105" i="3"/>
  <c r="U110" i="3"/>
  <c r="U122" i="3"/>
  <c r="U124" i="3"/>
  <c r="U128" i="3"/>
  <c r="U137" i="3"/>
  <c r="U69" i="3"/>
  <c r="U60" i="3"/>
  <c r="U72" i="3"/>
  <c r="U76" i="3"/>
  <c r="U78" i="3"/>
  <c r="U51" i="3"/>
  <c r="U84" i="3"/>
  <c r="U89" i="3"/>
  <c r="U123" i="3"/>
  <c r="U64" i="3"/>
  <c r="U52" i="3"/>
  <c r="U85" i="3"/>
  <c r="U96" i="3"/>
  <c r="U103" i="3"/>
  <c r="U111" i="3"/>
  <c r="U112" i="3"/>
  <c r="U127" i="3"/>
  <c r="U131" i="3"/>
  <c r="U139" i="3"/>
  <c r="U54" i="3"/>
  <c r="U49" i="3"/>
  <c r="U121" i="3"/>
  <c r="U62" i="3"/>
  <c r="U91" i="3"/>
  <c r="U100" i="3"/>
  <c r="U53" i="3"/>
  <c r="U80" i="3"/>
  <c r="U81" i="3"/>
  <c r="U48" i="3"/>
  <c r="U82" i="3"/>
  <c r="U114" i="3"/>
  <c r="U115" i="3"/>
  <c r="U118" i="3"/>
  <c r="U44" i="3"/>
  <c r="U39" i="3"/>
  <c r="U38" i="3"/>
  <c r="U77" i="3"/>
  <c r="U95" i="3"/>
  <c r="U108" i="3"/>
  <c r="U132" i="3"/>
  <c r="U140" i="3"/>
  <c r="U70" i="3"/>
  <c r="U83" i="3"/>
  <c r="U47" i="3"/>
  <c r="U86" i="3"/>
  <c r="U88" i="3"/>
  <c r="U93" i="3"/>
  <c r="U97" i="3"/>
  <c r="U99" i="3"/>
  <c r="U107" i="3"/>
  <c r="U116" i="3"/>
  <c r="U117" i="3"/>
  <c r="U133" i="3"/>
  <c r="U138" i="3"/>
  <c r="U119" i="3"/>
  <c r="U126" i="3"/>
  <c r="U129" i="3"/>
  <c r="U136" i="3"/>
  <c r="U37" i="3"/>
  <c r="U113" i="3"/>
  <c r="U65" i="3"/>
  <c r="U67" i="3"/>
  <c r="U61" i="3"/>
  <c r="U58" i="3"/>
  <c r="U74" i="3"/>
  <c r="U55" i="3"/>
  <c r="U87" i="3"/>
  <c r="U98" i="3"/>
  <c r="U106" i="3"/>
  <c r="U130" i="3"/>
  <c r="U43" i="3"/>
  <c r="U41" i="3"/>
  <c r="U36" i="3"/>
  <c r="U63" i="3"/>
  <c r="U71" i="3"/>
  <c r="U56" i="3"/>
  <c r="U50" i="3"/>
  <c r="U90" i="3"/>
  <c r="U101" i="3"/>
  <c r="U134" i="3"/>
  <c r="U135" i="3"/>
  <c r="U42" i="3"/>
  <c r="U94" i="3"/>
  <c r="U109" i="3"/>
  <c r="U120" i="3"/>
  <c r="U141" i="3"/>
  <c r="U40" i="3"/>
  <c r="U79" i="3"/>
  <c r="G19" i="3" l="1"/>
  <c r="AC73" i="11"/>
  <c r="AC63" i="11"/>
  <c r="AC24" i="11"/>
  <c r="AC69" i="11"/>
  <c r="AC46" i="11"/>
  <c r="AC43" i="11"/>
  <c r="AC19" i="11"/>
  <c r="AC70" i="11"/>
  <c r="AC68" i="11"/>
  <c r="AC64" i="11"/>
  <c r="AC38" i="11"/>
  <c r="AC75" i="11"/>
  <c r="AC30" i="11"/>
  <c r="AC37" i="11"/>
  <c r="AC27" i="11"/>
  <c r="AC41" i="11"/>
  <c r="AC67" i="11"/>
  <c r="AC17" i="11"/>
  <c r="AC39" i="11"/>
  <c r="AC31" i="11"/>
  <c r="AC9" i="11"/>
  <c r="AC15" i="11"/>
  <c r="AC49" i="11"/>
  <c r="AC62" i="11"/>
  <c r="AC10" i="11"/>
  <c r="AC35" i="11"/>
  <c r="AC21" i="11"/>
  <c r="AC77" i="11"/>
  <c r="AC58" i="11"/>
  <c r="AC14" i="11"/>
  <c r="AC11" i="11"/>
  <c r="AC44" i="11"/>
  <c r="AC20" i="11"/>
  <c r="AC32" i="11"/>
  <c r="AC18" i="11"/>
  <c r="AC65" i="11"/>
  <c r="AC74" i="11"/>
  <c r="AC72" i="11"/>
  <c r="AC8" i="11"/>
  <c r="AC28" i="11"/>
  <c r="AC42" i="11"/>
  <c r="AC7" i="11"/>
  <c r="AC23" i="11"/>
  <c r="AC50" i="11"/>
  <c r="AC34" i="11"/>
  <c r="AC51" i="11"/>
  <c r="AC61" i="11"/>
  <c r="AC60" i="11"/>
  <c r="AC40" i="11"/>
  <c r="AC45" i="11"/>
  <c r="AC54" i="11"/>
  <c r="AC56" i="11"/>
  <c r="AC59" i="11"/>
  <c r="AC47" i="11"/>
  <c r="AC66" i="11"/>
  <c r="AC53" i="11"/>
  <c r="AC36" i="11"/>
  <c r="AC22" i="11"/>
  <c r="AC52" i="11"/>
  <c r="AC26" i="11"/>
  <c r="AC33" i="11"/>
  <c r="AC29" i="11"/>
  <c r="AC13" i="11"/>
  <c r="AC16" i="11"/>
  <c r="AC12" i="11"/>
  <c r="AC25" i="11"/>
  <c r="AC57" i="11"/>
  <c r="AC76" i="11"/>
  <c r="AC48" i="11"/>
  <c r="AC55" i="11"/>
  <c r="AC71" i="11"/>
  <c r="Z68" i="11"/>
  <c r="Z19" i="11"/>
  <c r="Y19" i="11" s="1"/>
  <c r="Z58" i="11"/>
  <c r="Y58" i="11" s="1"/>
  <c r="Z9" i="11"/>
  <c r="Y9" i="11" s="1"/>
  <c r="Z65" i="11"/>
  <c r="Y65" i="11" s="1"/>
  <c r="Z75" i="11"/>
  <c r="Y75" i="11" s="1"/>
  <c r="Z72" i="11"/>
  <c r="Y72" i="11" s="1"/>
  <c r="Z51" i="11"/>
  <c r="Y51" i="11" s="1"/>
  <c r="Z64" i="11"/>
  <c r="Z74" i="11"/>
  <c r="Y74" i="11" s="1"/>
  <c r="Z37" i="11"/>
  <c r="Y37" i="11" s="1"/>
  <c r="Z77" i="11"/>
  <c r="Y77" i="11" s="1"/>
  <c r="Z47" i="11"/>
  <c r="Y47" i="11" s="1"/>
  <c r="Z69" i="11"/>
  <c r="Y69" i="11" s="1"/>
  <c r="Z63" i="11"/>
  <c r="Y63" i="11" s="1"/>
  <c r="Z43" i="11"/>
  <c r="Z70" i="11"/>
  <c r="Y70" i="11" s="1"/>
  <c r="Z34" i="11"/>
  <c r="Y34" i="11" s="1"/>
  <c r="Z66" i="11"/>
  <c r="Y66" i="11" s="1"/>
  <c r="Z25" i="11"/>
  <c r="Y25" i="11" s="1"/>
  <c r="Z44" i="11"/>
  <c r="Y44" i="11" s="1"/>
  <c r="Z20" i="11"/>
  <c r="Y20" i="11" s="1"/>
  <c r="Z10" i="11"/>
  <c r="Y10" i="11" s="1"/>
  <c r="Z32" i="11"/>
  <c r="Y32" i="11" s="1"/>
  <c r="Z12" i="11"/>
  <c r="Y12" i="11" s="1"/>
  <c r="Z31" i="11"/>
  <c r="Y31" i="11" s="1"/>
  <c r="Z16" i="11"/>
  <c r="Y16" i="11" s="1"/>
  <c r="Z26" i="11"/>
  <c r="Y26" i="11" s="1"/>
  <c r="Z49" i="11"/>
  <c r="Y49" i="11" s="1"/>
  <c r="Z55" i="11"/>
  <c r="Y55" i="11" s="1"/>
  <c r="Z33" i="11"/>
  <c r="Y33" i="11" s="1"/>
  <c r="Z42" i="11"/>
  <c r="Y42" i="11" s="1"/>
  <c r="Z50" i="11"/>
  <c r="Y50" i="11" s="1"/>
  <c r="Z7" i="11"/>
  <c r="Y7" i="11" s="1"/>
  <c r="Z23" i="11"/>
  <c r="Y23" i="11" s="1"/>
  <c r="Z71" i="11"/>
  <c r="Y71" i="11" s="1"/>
  <c r="Z22" i="11"/>
  <c r="Y22" i="11" s="1"/>
  <c r="Z13" i="11"/>
  <c r="Y13" i="11" s="1"/>
  <c r="Z11" i="11"/>
  <c r="Y11" i="11" s="1"/>
  <c r="Z76" i="11"/>
  <c r="Y76" i="11" s="1"/>
  <c r="Z59" i="11"/>
  <c r="Z57" i="11"/>
  <c r="Y57" i="11" s="1"/>
  <c r="Z28" i="11"/>
  <c r="Y28" i="11" s="1"/>
  <c r="Z67" i="11"/>
  <c r="Y67" i="11" s="1"/>
  <c r="Z30" i="11"/>
  <c r="Y30" i="11" s="1"/>
  <c r="Z48" i="11"/>
  <c r="Y48" i="11" s="1"/>
  <c r="Z39" i="11"/>
  <c r="Y39" i="11" s="1"/>
  <c r="Z54" i="11"/>
  <c r="Y54" i="11" s="1"/>
  <c r="Z45" i="11"/>
  <c r="Y45" i="11" s="1"/>
  <c r="Z21" i="11"/>
  <c r="Y21" i="11" s="1"/>
  <c r="Z56" i="11"/>
  <c r="Y56" i="11" s="1"/>
  <c r="Z14" i="11"/>
  <c r="Y14" i="11" s="1"/>
  <c r="Z27" i="11"/>
  <c r="Y27" i="11" s="1"/>
  <c r="Z60" i="11"/>
  <c r="Y60" i="11" s="1"/>
  <c r="Z73" i="11"/>
  <c r="Y73" i="11" s="1"/>
  <c r="Z24" i="11"/>
  <c r="Y24" i="11" s="1"/>
  <c r="Z8" i="11"/>
  <c r="Y8" i="11" s="1"/>
  <c r="Z15" i="11"/>
  <c r="Y15" i="11" s="1"/>
  <c r="Z53" i="11"/>
  <c r="Y53" i="11" s="1"/>
  <c r="Z62" i="11"/>
  <c r="Y62" i="11" s="1"/>
  <c r="Z40" i="11"/>
  <c r="Y40" i="11" s="1"/>
  <c r="Z17" i="11"/>
  <c r="Y17" i="11" s="1"/>
  <c r="Z35" i="11"/>
  <c r="Y35" i="11" s="1"/>
  <c r="Z52" i="11"/>
  <c r="Y52" i="11" s="1"/>
  <c r="Z36" i="11"/>
  <c r="Y36" i="11" s="1"/>
  <c r="Z18" i="11"/>
  <c r="Y18" i="11" s="1"/>
  <c r="Z41" i="11"/>
  <c r="Y41" i="11" s="1"/>
  <c r="Z29" i="11"/>
  <c r="Y29" i="11" s="1"/>
  <c r="Z46" i="11"/>
  <c r="Y46" i="11" s="1"/>
  <c r="Z61" i="11"/>
  <c r="Y61" i="11" s="1"/>
  <c r="Z38" i="11"/>
  <c r="Y38" i="11" s="1"/>
  <c r="F19" i="3"/>
  <c r="K20" i="3"/>
  <c r="J9" i="11" l="1"/>
  <c r="L9" i="11" s="1"/>
  <c r="J75" i="11"/>
  <c r="L75" i="11" s="1"/>
  <c r="J73" i="11"/>
  <c r="L73" i="11" s="1"/>
  <c r="J77" i="11"/>
  <c r="L77" i="11" s="1"/>
  <c r="I69" i="11"/>
  <c r="I46" i="11"/>
  <c r="I70" i="11"/>
  <c r="I63" i="11"/>
  <c r="J38" i="11"/>
  <c r="L38" i="11" s="1"/>
  <c r="J59" i="11"/>
  <c r="L59" i="11" s="1"/>
  <c r="J70" i="11"/>
  <c r="L70" i="11" s="1"/>
  <c r="J63" i="11"/>
  <c r="L63" i="11" s="1"/>
  <c r="J43" i="11"/>
  <c r="L43" i="11" s="1"/>
  <c r="J65" i="11"/>
  <c r="L65" i="11" s="1"/>
  <c r="I24" i="11"/>
  <c r="J69" i="11"/>
  <c r="L69" i="11" s="1"/>
  <c r="J51" i="11"/>
  <c r="L51" i="11" s="1"/>
  <c r="I41" i="11"/>
  <c r="I56" i="11"/>
  <c r="J24" i="11"/>
  <c r="L24" i="11" s="1"/>
  <c r="J37" i="11"/>
  <c r="L37" i="11" s="1"/>
  <c r="J76" i="11"/>
  <c r="L76" i="11" s="1"/>
  <c r="I67" i="11"/>
  <c r="I72" i="11"/>
  <c r="J7" i="11"/>
  <c r="L7" i="11" s="1"/>
  <c r="J17" i="11"/>
  <c r="L17" i="11" s="1"/>
  <c r="J54" i="11"/>
  <c r="L54" i="11" s="1"/>
  <c r="I48" i="11"/>
  <c r="J13" i="11"/>
  <c r="L13" i="11" s="1"/>
  <c r="I29" i="11"/>
  <c r="J50" i="11"/>
  <c r="L50" i="11" s="1"/>
  <c r="I23" i="11"/>
  <c r="J49" i="11"/>
  <c r="L49" i="11" s="1"/>
  <c r="I21" i="11"/>
  <c r="I53" i="11"/>
  <c r="I40" i="11"/>
  <c r="I35" i="11"/>
  <c r="J72" i="11"/>
  <c r="L72" i="11" s="1"/>
  <c r="I33" i="11"/>
  <c r="J56" i="11"/>
  <c r="L56" i="11" s="1"/>
  <c r="I26" i="11"/>
  <c r="I25" i="11"/>
  <c r="J39" i="11"/>
  <c r="L39" i="11" s="1"/>
  <c r="I60" i="11"/>
  <c r="I36" i="11"/>
  <c r="J35" i="11"/>
  <c r="L35" i="11" s="1"/>
  <c r="I28" i="11"/>
  <c r="I42" i="11"/>
  <c r="J21" i="11"/>
  <c r="L21" i="11" s="1"/>
  <c r="J18" i="11"/>
  <c r="L18" i="11" s="1"/>
  <c r="I7" i="11"/>
  <c r="I52" i="11"/>
  <c r="I34" i="11"/>
  <c r="I51" i="11"/>
  <c r="J45" i="11"/>
  <c r="L45" i="11" s="1"/>
  <c r="I39" i="11"/>
  <c r="J20" i="11"/>
  <c r="L20" i="11" s="1"/>
  <c r="I57" i="11"/>
  <c r="J22" i="11"/>
  <c r="L22" i="11" s="1"/>
  <c r="I31" i="11"/>
  <c r="I71" i="11"/>
  <c r="J48" i="11"/>
  <c r="L48" i="11" s="1"/>
  <c r="I22" i="11"/>
  <c r="I44" i="11"/>
  <c r="J71" i="11"/>
  <c r="L71" i="11" s="1"/>
  <c r="J42" i="11"/>
  <c r="L42" i="11" s="1"/>
  <c r="J23" i="11"/>
  <c r="L23" i="11" s="1"/>
  <c r="I61" i="11"/>
  <c r="J52" i="11"/>
  <c r="L52" i="11" s="1"/>
  <c r="I54" i="11"/>
  <c r="I8" i="11"/>
  <c r="I16" i="11"/>
  <c r="J67" i="11"/>
  <c r="L67" i="11" s="1"/>
  <c r="I15" i="11"/>
  <c r="I62" i="11"/>
  <c r="I55" i="11"/>
  <c r="J55" i="11"/>
  <c r="L55" i="11" s="1"/>
  <c r="I14" i="11"/>
  <c r="J44" i="11"/>
  <c r="L44" i="11" s="1"/>
  <c r="J10" i="11"/>
  <c r="L10" i="11" s="1"/>
  <c r="J33" i="11"/>
  <c r="L33" i="11" s="1"/>
  <c r="I20" i="11"/>
  <c r="I50" i="11"/>
  <c r="I27" i="11"/>
  <c r="I12" i="11"/>
  <c r="I18" i="11"/>
  <c r="J30" i="11"/>
  <c r="L30" i="11" s="1"/>
  <c r="J32" i="11"/>
  <c r="L32" i="11" s="1"/>
  <c r="I32" i="11"/>
  <c r="J31" i="11"/>
  <c r="L31" i="11" s="1"/>
  <c r="J16" i="11"/>
  <c r="L16" i="11" s="1"/>
  <c r="I11" i="11"/>
  <c r="J41" i="11"/>
  <c r="L41" i="11" s="1"/>
  <c r="I10" i="11"/>
  <c r="I30" i="11"/>
  <c r="I66" i="11"/>
  <c r="I49" i="11"/>
  <c r="I76" i="11"/>
  <c r="I45" i="11"/>
  <c r="J12" i="11"/>
  <c r="L12" i="11" s="1"/>
  <c r="J62" i="11"/>
  <c r="L62" i="11" s="1"/>
  <c r="I17" i="11"/>
  <c r="I13" i="11"/>
  <c r="J34" i="11"/>
  <c r="L34" i="11" s="1"/>
  <c r="J40" i="11"/>
  <c r="L40" i="11" s="1"/>
  <c r="J36" i="11"/>
  <c r="L36" i="11" s="1"/>
  <c r="J74" i="11"/>
  <c r="L74" i="11" s="1"/>
  <c r="J25" i="11"/>
  <c r="L25" i="11" s="1"/>
  <c r="J57" i="11"/>
  <c r="L57" i="11" s="1"/>
  <c r="J66" i="11"/>
  <c r="L66" i="11" s="1"/>
  <c r="J14" i="11"/>
  <c r="L14" i="11" s="1"/>
  <c r="J68" i="11"/>
  <c r="L68" i="11" s="1"/>
  <c r="J64" i="11"/>
  <c r="L64" i="11" s="1"/>
  <c r="J28" i="11"/>
  <c r="L28" i="11" s="1"/>
  <c r="J19" i="11"/>
  <c r="L19" i="11" s="1"/>
  <c r="J11" i="11"/>
  <c r="L11" i="11" s="1"/>
  <c r="J8" i="11"/>
  <c r="L8" i="11" s="1"/>
  <c r="J47" i="11"/>
  <c r="L47" i="11" s="1"/>
  <c r="J61" i="11"/>
  <c r="L61" i="11" s="1"/>
  <c r="J26" i="11"/>
  <c r="L26" i="11" s="1"/>
  <c r="J58" i="11"/>
  <c r="L58" i="11" s="1"/>
  <c r="J29" i="11"/>
  <c r="L29" i="11" s="1"/>
  <c r="J15" i="11"/>
  <c r="L15" i="11" s="1"/>
  <c r="J27" i="11"/>
  <c r="L27" i="11" s="1"/>
  <c r="J53" i="11"/>
  <c r="L53" i="11" s="1"/>
  <c r="J46" i="11"/>
  <c r="L46" i="11" s="1"/>
  <c r="J60" i="11"/>
  <c r="L60" i="11" s="1"/>
  <c r="AF48" i="11" l="1"/>
  <c r="AF65" i="11"/>
  <c r="AF47" i="11"/>
  <c r="AF53" i="11"/>
  <c r="AF13" i="11"/>
  <c r="AF51" i="11"/>
  <c r="AF27" i="11"/>
  <c r="AF25" i="11"/>
  <c r="AF22" i="11"/>
  <c r="AF56" i="11"/>
  <c r="AF7" i="11"/>
  <c r="AF63" i="11"/>
  <c r="AF77" i="11"/>
  <c r="AF12" i="11"/>
  <c r="AF17" i="11"/>
  <c r="AF36" i="11"/>
  <c r="AF67" i="11"/>
  <c r="AF11" i="11"/>
  <c r="AF40" i="11"/>
  <c r="AF15" i="11"/>
  <c r="AF19" i="11"/>
  <c r="AF74" i="11"/>
  <c r="AF31" i="11"/>
  <c r="AF30" i="11"/>
  <c r="AF35" i="11"/>
  <c r="AF70" i="11"/>
  <c r="AF73" i="11"/>
  <c r="AF24" i="11"/>
  <c r="AF57" i="11"/>
  <c r="AF43" i="11"/>
  <c r="AF29" i="11"/>
  <c r="AF28" i="11"/>
  <c r="AF41" i="11"/>
  <c r="AF42" i="11"/>
  <c r="AF18" i="11"/>
  <c r="AF49" i="11"/>
  <c r="AF76" i="11"/>
  <c r="AF59" i="11"/>
  <c r="AF75" i="11"/>
  <c r="AF66" i="11"/>
  <c r="AF8" i="11"/>
  <c r="AF20" i="11"/>
  <c r="AF58" i="11"/>
  <c r="AF64" i="11"/>
  <c r="AF33" i="11"/>
  <c r="AF37" i="11"/>
  <c r="AF38" i="11"/>
  <c r="AF9" i="11"/>
  <c r="AF46" i="11"/>
  <c r="AF23" i="11"/>
  <c r="AF45" i="11"/>
  <c r="AF26" i="11"/>
  <c r="AF52" i="11"/>
  <c r="AF21" i="11"/>
  <c r="AF69" i="11"/>
  <c r="AF16" i="11"/>
  <c r="AF44" i="11"/>
  <c r="AF68" i="11"/>
  <c r="AF34" i="11"/>
  <c r="AF32" i="11"/>
  <c r="AF60" i="11"/>
  <c r="AF61" i="11"/>
  <c r="AF14" i="11"/>
  <c r="AF62" i="11"/>
  <c r="AF10" i="11"/>
  <c r="AF55" i="11"/>
  <c r="AF71" i="11"/>
  <c r="AF39" i="11"/>
  <c r="AF72" i="11"/>
  <c r="AF50" i="11"/>
  <c r="AF54" i="11"/>
  <c r="AE69" i="11" l="1"/>
  <c r="M69" i="11" s="1"/>
  <c r="X69" i="11"/>
  <c r="AE64" i="11"/>
  <c r="M64" i="11" s="1"/>
  <c r="X64" i="11"/>
  <c r="AE24" i="11"/>
  <c r="M24" i="11" s="1"/>
  <c r="X24" i="11"/>
  <c r="X50" i="11"/>
  <c r="AE50" i="11"/>
  <c r="M50" i="11" s="1"/>
  <c r="AE32" i="11"/>
  <c r="M32" i="11" s="1"/>
  <c r="X32" i="11"/>
  <c r="AE43" i="11"/>
  <c r="M43" i="11" s="1"/>
  <c r="X43" i="11"/>
  <c r="AE74" i="11"/>
  <c r="M74" i="11" s="1"/>
  <c r="X74" i="11"/>
  <c r="AE13" i="11"/>
  <c r="M13" i="11" s="1"/>
  <c r="X13" i="11"/>
  <c r="AE47" i="11"/>
  <c r="M47" i="11" s="1"/>
  <c r="X47" i="11"/>
  <c r="AE10" i="11"/>
  <c r="M10" i="11" s="1"/>
  <c r="X10" i="11"/>
  <c r="X37" i="11"/>
  <c r="AE37" i="11"/>
  <c r="M37" i="11" s="1"/>
  <c r="AE59" i="11"/>
  <c r="M59" i="11" s="1"/>
  <c r="X59" i="11"/>
  <c r="AE70" i="11"/>
  <c r="M70" i="11" s="1"/>
  <c r="X70" i="11"/>
  <c r="AE22" i="11"/>
  <c r="M22" i="11" s="1"/>
  <c r="X22" i="11"/>
  <c r="AE76" i="11"/>
  <c r="M76" i="11" s="1"/>
  <c r="X76" i="11"/>
  <c r="X73" i="11"/>
  <c r="AE73" i="11"/>
  <c r="M73" i="11" s="1"/>
  <c r="AE11" i="11"/>
  <c r="M11" i="11" s="1"/>
  <c r="X11" i="11"/>
  <c r="X71" i="11"/>
  <c r="AE71" i="11"/>
  <c r="M71" i="11" s="1"/>
  <c r="X14" i="11"/>
  <c r="AE14" i="11"/>
  <c r="M14" i="11" s="1"/>
  <c r="AE44" i="11"/>
  <c r="M44" i="11" s="1"/>
  <c r="X44" i="11"/>
  <c r="AE46" i="11"/>
  <c r="M46" i="11" s="1"/>
  <c r="X46" i="11"/>
  <c r="X58" i="11"/>
  <c r="AE58" i="11"/>
  <c r="M58" i="11" s="1"/>
  <c r="AE18" i="11"/>
  <c r="M18" i="11" s="1"/>
  <c r="X18" i="11"/>
  <c r="AE35" i="11"/>
  <c r="M35" i="11" s="1"/>
  <c r="X35" i="11"/>
  <c r="X19" i="11"/>
  <c r="AE19" i="11"/>
  <c r="M19" i="11" s="1"/>
  <c r="X67" i="11"/>
  <c r="AE67" i="11"/>
  <c r="M67" i="11" s="1"/>
  <c r="AE12" i="11"/>
  <c r="M12" i="11" s="1"/>
  <c r="X12" i="11"/>
  <c r="X56" i="11"/>
  <c r="AE56" i="11"/>
  <c r="M56" i="11" s="1"/>
  <c r="AE25" i="11"/>
  <c r="M25" i="11" s="1"/>
  <c r="X25" i="11"/>
  <c r="X65" i="11"/>
  <c r="AE65" i="11"/>
  <c r="M65" i="11" s="1"/>
  <c r="AE55" i="11"/>
  <c r="M55" i="11" s="1"/>
  <c r="X55" i="11"/>
  <c r="AE23" i="11"/>
  <c r="M23" i="11" s="1"/>
  <c r="X23" i="11"/>
  <c r="AE49" i="11"/>
  <c r="M49" i="11" s="1"/>
  <c r="X49" i="11"/>
  <c r="AE42" i="11"/>
  <c r="M42" i="11" s="1"/>
  <c r="X42" i="11"/>
  <c r="AE30" i="11"/>
  <c r="M30" i="11" s="1"/>
  <c r="X30" i="11"/>
  <c r="X36" i="11"/>
  <c r="AE36" i="11"/>
  <c r="M36" i="11" s="1"/>
  <c r="X54" i="11"/>
  <c r="AE54" i="11"/>
  <c r="M54" i="11" s="1"/>
  <c r="AE72" i="11"/>
  <c r="M72" i="11" s="1"/>
  <c r="X72" i="11"/>
  <c r="X61" i="11"/>
  <c r="AE61" i="11"/>
  <c r="M61" i="11" s="1"/>
  <c r="X34" i="11"/>
  <c r="AE34" i="11"/>
  <c r="M34" i="11" s="1"/>
  <c r="X26" i="11"/>
  <c r="AE26" i="11"/>
  <c r="M26" i="11" s="1"/>
  <c r="AE9" i="11"/>
  <c r="M9" i="11" s="1"/>
  <c r="X9" i="11"/>
  <c r="AE33" i="11"/>
  <c r="M33" i="11" s="1"/>
  <c r="X33" i="11"/>
  <c r="AE20" i="11"/>
  <c r="M20" i="11" s="1"/>
  <c r="X20" i="11"/>
  <c r="X28" i="11"/>
  <c r="AE28" i="11"/>
  <c r="M28" i="11" s="1"/>
  <c r="X15" i="11"/>
  <c r="AE15" i="11"/>
  <c r="M15" i="11" s="1"/>
  <c r="AE77" i="11"/>
  <c r="M77" i="11" s="1"/>
  <c r="X77" i="11"/>
  <c r="AE27" i="11"/>
  <c r="M27" i="11" s="1"/>
  <c r="X27" i="11"/>
  <c r="X53" i="11"/>
  <c r="AE53" i="11"/>
  <c r="M53" i="11" s="1"/>
  <c r="AE48" i="11"/>
  <c r="M48" i="11" s="1"/>
  <c r="X48" i="11"/>
  <c r="X52" i="11"/>
  <c r="AE52" i="11"/>
  <c r="M52" i="11" s="1"/>
  <c r="AE75" i="11"/>
  <c r="M75" i="11" s="1"/>
  <c r="X75" i="11"/>
  <c r="X7" i="11"/>
  <c r="AE7" i="11"/>
  <c r="M7" i="11" s="1"/>
  <c r="X39" i="11"/>
  <c r="AE39" i="11"/>
  <c r="M39" i="11" s="1"/>
  <c r="X21" i="11"/>
  <c r="AE21" i="11"/>
  <c r="M21" i="11" s="1"/>
  <c r="X45" i="11"/>
  <c r="AE45" i="11"/>
  <c r="M45" i="11" s="1"/>
  <c r="AE38" i="11"/>
  <c r="M38" i="11" s="1"/>
  <c r="X38" i="11"/>
  <c r="X41" i="11"/>
  <c r="AE41" i="11"/>
  <c r="M41" i="11" s="1"/>
  <c r="AE31" i="11"/>
  <c r="M31" i="11" s="1"/>
  <c r="X31" i="11"/>
  <c r="AE63" i="11"/>
  <c r="M63" i="11" s="1"/>
  <c r="X63" i="11"/>
  <c r="AE62" i="11"/>
  <c r="M62" i="11" s="1"/>
  <c r="X62" i="11"/>
  <c r="AE60" i="11"/>
  <c r="M60" i="11" s="1"/>
  <c r="X60" i="11"/>
  <c r="X68" i="11"/>
  <c r="AE68" i="11"/>
  <c r="M68" i="11" s="1"/>
  <c r="X16" i="11"/>
  <c r="AE16" i="11"/>
  <c r="M16" i="11" s="1"/>
  <c r="AE8" i="11"/>
  <c r="M8" i="11" s="1"/>
  <c r="X8" i="11"/>
  <c r="AE66" i="11"/>
  <c r="M66" i="11" s="1"/>
  <c r="X66" i="11"/>
  <c r="AE29" i="11"/>
  <c r="M29" i="11" s="1"/>
  <c r="X29" i="11"/>
  <c r="AE57" i="11"/>
  <c r="M57" i="11" s="1"/>
  <c r="X57" i="11"/>
  <c r="AE40" i="11"/>
  <c r="M40" i="11" s="1"/>
  <c r="X40" i="11"/>
  <c r="AE17" i="11"/>
  <c r="M17" i="11" s="1"/>
  <c r="X17" i="11"/>
  <c r="AE51" i="11"/>
  <c r="M51" i="11" s="1"/>
  <c r="X5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Hagberg</author>
  </authors>
  <commentList>
    <comment ref="AF6" authorId="0" shapeId="0" xr:uid="{4AC0F8E0-5D0D-4D64-8764-D5476D64FA5F}">
      <text>
        <r>
          <rPr>
            <b/>
            <sz val="9"/>
            <color indexed="81"/>
            <rFont val="Tahoma"/>
            <family val="2"/>
          </rPr>
          <t>Daniel Hagberg:</t>
        </r>
        <r>
          <rPr>
            <sz val="9"/>
            <color indexed="81"/>
            <rFont val="Tahoma"/>
            <family val="2"/>
          </rPr>
          <t xml:space="preserve">
Förmånsvärdet för företaget är dock  inte med utan beräknas i rutan till höger om det är en förmånsbil</t>
        </r>
      </text>
    </comment>
  </commentList>
</comments>
</file>

<file path=xl/sharedStrings.xml><?xml version="1.0" encoding="utf-8"?>
<sst xmlns="http://schemas.openxmlformats.org/spreadsheetml/2006/main" count="366" uniqueCount="192">
  <si>
    <t>pris drivmedel</t>
  </si>
  <si>
    <t>biogas</t>
  </si>
  <si>
    <t>skillnad i kronor per bil och år, Megane vs</t>
  </si>
  <si>
    <t>HVO100</t>
  </si>
  <si>
    <t>El</t>
  </si>
  <si>
    <t>Bil</t>
  </si>
  <si>
    <t>pris</t>
  </si>
  <si>
    <t>Bonus</t>
  </si>
  <si>
    <t>pris efter bonus</t>
  </si>
  <si>
    <t>Malus NEDC</t>
  </si>
  <si>
    <t>Malus WLTP</t>
  </si>
  <si>
    <t>förbrukning</t>
  </si>
  <si>
    <t>service</t>
  </si>
  <si>
    <t>g utsläpp NEDC</t>
  </si>
  <si>
    <t>g utsläpp WLTP</t>
  </si>
  <si>
    <t>"fasta kostnader"</t>
  </si>
  <si>
    <t>restvärde vid mil (hö skala)</t>
  </si>
  <si>
    <t>Kia e-Niro 64 kWh</t>
  </si>
  <si>
    <t>Hyundai Kona 39 kWh</t>
  </si>
  <si>
    <t>Peugeot               e-208</t>
  </si>
  <si>
    <t>Renault Zoe 52 kWh köp</t>
  </si>
  <si>
    <t>Renault Zoe 52 kWh hyr</t>
  </si>
  <si>
    <t>Renault Megane dCi 115 man -20 HVO100</t>
  </si>
  <si>
    <t>SEAT Leon TGI</t>
  </si>
  <si>
    <t>mil per år</t>
  </si>
  <si>
    <t xml:space="preserve">Peugeot 308 1.6 HDi 100 </t>
  </si>
  <si>
    <t>Nissan Qashqai 1.5 dCi 110 2WD man</t>
  </si>
  <si>
    <t>mil</t>
  </si>
  <si>
    <t>hyrkostnad batteri</t>
  </si>
  <si>
    <t>e-Niro</t>
  </si>
  <si>
    <t>pris inkl moms</t>
  </si>
  <si>
    <t>per datum</t>
  </si>
  <si>
    <t>service/mil inkl moms</t>
  </si>
  <si>
    <t>service/mil ex moms</t>
  </si>
  <si>
    <t>bensin</t>
  </si>
  <si>
    <t>kostnad extra däck (ex moms)</t>
  </si>
  <si>
    <t>servicekostnad formel</t>
  </si>
  <si>
    <t>servicekostnad</t>
  </si>
  <si>
    <t>sommardäck formel</t>
  </si>
  <si>
    <t>vinterdäck formel</t>
  </si>
  <si>
    <t>skillnad i intervallet</t>
  </si>
  <si>
    <t>halv-försäkring</t>
  </si>
  <si>
    <t>halvförsäkring VW Golf upp till 1000 mil ger efter 36 mån</t>
  </si>
  <si>
    <t>halvförsäkring VW Golf upp till 2000 mil ger efter 36 mån</t>
  </si>
  <si>
    <t>halvförsäkring VW Golf upp till 3000 mil ger efter 36 mån</t>
  </si>
  <si>
    <t>halvförsäkring VW Golf upp till 1500 mil ger efter 36 mån</t>
  </si>
  <si>
    <t>halvförsäkring VW Golf upp till 5000 mil ger efter 36 mån</t>
  </si>
  <si>
    <t>Ger marginal-kostnad 1 kr/mil</t>
  </si>
  <si>
    <t>WLTP förbrukning</t>
  </si>
  <si>
    <t>kapitaltjänst vid 4 % ränta ex moms</t>
  </si>
  <si>
    <t>kapitaltjänst vid 4 % ränta inkl moms</t>
  </si>
  <si>
    <r>
      <t>Utsläpp per år (ton CO</t>
    </r>
    <r>
      <rPr>
        <vertAlign val="sub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(hö skala)</t>
    </r>
  </si>
  <si>
    <t>31 uppskattat värde saknas på hemsidan</t>
  </si>
  <si>
    <t>förbruk-ning/mil inkl moms</t>
  </si>
  <si>
    <t>förbruk-ning/mil ex moms</t>
  </si>
  <si>
    <t>förmåns-/tjänstebil</t>
  </si>
  <si>
    <t>Maxus EV80 chassi 56 kWh</t>
  </si>
  <si>
    <t>37,3 kWh</t>
  </si>
  <si>
    <t xml:space="preserve">=60000-(714,29*g) upp till 70 g </t>
  </si>
  <si>
    <t>bonus laddhybrid t.o.m. sista mars 2021</t>
  </si>
  <si>
    <t>malus t.o.m. sista mars 2021</t>
  </si>
  <si>
    <t>82 kr/g 95-140 g, 107 kr/g +140 g</t>
  </si>
  <si>
    <t>kostnad förmånsvärde företaget per år</t>
  </si>
  <si>
    <t>kostnad förmånsvärde förare brutto per månad</t>
  </si>
  <si>
    <t xml:space="preserve">DFSK Seres 3 Electric 53 kWh, förmånsv. 3350 kr/mån brutto </t>
  </si>
  <si>
    <t xml:space="preserve">Hyundai Kona 39 kWh, förmånsv. 2500 kr/mån brutto </t>
  </si>
  <si>
    <t>fordons-typ</t>
  </si>
  <si>
    <t>driv-medel</t>
  </si>
  <si>
    <t>el</t>
  </si>
  <si>
    <t>laddhybrid</t>
  </si>
  <si>
    <t>PB</t>
  </si>
  <si>
    <t>LLB</t>
  </si>
  <si>
    <t>notering</t>
  </si>
  <si>
    <t>35,8 kWh; förbruknvärde angett NEFZ 2,15 kWh</t>
  </si>
  <si>
    <t>skatt per mil</t>
  </si>
  <si>
    <t>Skatt WLTP</t>
  </si>
  <si>
    <t>el (kr/kWh)</t>
  </si>
  <si>
    <t>biogas (kr/kg)</t>
  </si>
  <si>
    <t>HVO100 (kr/liter)</t>
  </si>
  <si>
    <t>elandel laddhybrid</t>
  </si>
  <si>
    <t>total kostnad företaget per år ex moms</t>
  </si>
  <si>
    <t>förmånsvärde kostnad företaget per mil</t>
  </si>
  <si>
    <t xml:space="preserve">jämförelsebil VW Golf 1.0 eTSI 110 DSG bensin, förmånsv. 3300 kr/mån brutto </t>
  </si>
  <si>
    <t>DFSK Fengon 580 Biogashybrid, förmånsv. 3800 kr/mån brutto</t>
  </si>
  <si>
    <t>Nissan Qashqai 1.5 dCi 115 2WD aut HVO100, förmånsv. 3800 kr/mån brutto</t>
  </si>
  <si>
    <t>inkl moms</t>
  </si>
  <si>
    <t xml:space="preserve">VW ABT e-Transporter, förmånsv. 4300 kr/mån brutto </t>
  </si>
  <si>
    <t>bensin (kr/liter)</t>
  </si>
  <si>
    <t>egen sortering</t>
  </si>
  <si>
    <t>Volvo V60 T6 AWD laddhybrid, förmånsv. 4200 kr/mån brutto</t>
  </si>
  <si>
    <t>driv-medlets andel</t>
  </si>
  <si>
    <t>uppg saknas</t>
  </si>
  <si>
    <t>utsläpp WLTP (g/km)</t>
  </si>
  <si>
    <t>total kostnad företaget per mil ex förmånsvärde ex moms</t>
  </si>
  <si>
    <t>x</t>
  </si>
  <si>
    <t>FOSSIL</t>
  </si>
  <si>
    <t>restvärde formel pb</t>
  </si>
  <si>
    <t>restvärde formel llb</t>
  </si>
  <si>
    <t>diesel</t>
  </si>
  <si>
    <t>Förmånsvärde per år</t>
  </si>
  <si>
    <t>leasing-period (månader)</t>
  </si>
  <si>
    <t>fossil</t>
  </si>
  <si>
    <t>VW ID.4 City 52 kWh, förmånsv. 3500 kr/mån brutto</t>
  </si>
  <si>
    <t>jämförbar bil 342'</t>
  </si>
  <si>
    <t>jämförbar bil 341'</t>
  </si>
  <si>
    <t>jämförbar bil 294'</t>
  </si>
  <si>
    <t>jämförbar bil 263'</t>
  </si>
  <si>
    <t>Renault Zoe 52 kWh hyr, förmånsv. 2800 kr/mån brutto</t>
  </si>
  <si>
    <t>Renault Zoe 52 kWh köp, förmånsv. 2800 kr/mån brutto</t>
  </si>
  <si>
    <t>SEAT Tarraco CNG biogas, förmånsv. 4400 kr/mån brutto</t>
  </si>
  <si>
    <t>Mazda MX-30 35 kWh, förmånsv. 3200 kr/mån brutto</t>
  </si>
  <si>
    <t>Peugeot 208 1.5 HDi 100 HVO100, förmånsv. 3000 kr/mån brutto</t>
  </si>
  <si>
    <t>Peugeot e-208, förmånsv. 2400 kr/mån brutto</t>
  </si>
  <si>
    <t>Hyundai Ioniq 38 kWh, förmånsv. 3200 kr/mån brutto</t>
  </si>
  <si>
    <t>Nissan Leaf 40 kWh, förmånsv. 2600 kr/mån brutto</t>
  </si>
  <si>
    <t>VW ID.3 Life 58 kWh, förmånsv. 3200 kr/mån brutto</t>
  </si>
  <si>
    <t>Nissan e-NV200 7-sits, förmånsv. 3000 kr/mån brutto</t>
  </si>
  <si>
    <t>Peugeot 308 SW 1.5 HDi 100 aut HVO100, förmånsv. 3500 kr/mån brutto</t>
  </si>
  <si>
    <t>Renault Megane Sport Tourer 1.5 dCi 115 EDC (aut) HVO100, förmånsv. 3700 kr/mån brutto</t>
  </si>
  <si>
    <t xml:space="preserve">Kia e-Niro 64 kWh, förmånsvärde 2900 kr/mån brutto </t>
  </si>
  <si>
    <t>Tesla 3 Standard Range Plus 2WD, förmånsvärde 3600 kr/mån brutto</t>
  </si>
  <si>
    <t>DFSK Fengon 5 Biogashybrid, förmånsv. 3800 kr/mån brutto</t>
  </si>
  <si>
    <t xml:space="preserve">Volvo V60 B4 HVO100, förmånsv. 4400 kr/mån brutto </t>
  </si>
  <si>
    <t>VW ID.4 Max 80kWh, förmånsv.  3800 kr/mån brutto</t>
  </si>
  <si>
    <t>Tesla S Long Range AWD, förmånsvärde 5600 kr/mån brutto</t>
  </si>
  <si>
    <t xml:space="preserve">Maxus e-Deliver 3, 4,8 kbm 35 kWh, förmånsv. 2700 kr/mån brutto </t>
  </si>
  <si>
    <t xml:space="preserve">Nissan e-NV200, förmånsv. 2900 kr/mån brutto </t>
  </si>
  <si>
    <t xml:space="preserve">Citroen e-Jumpy L2 50 kWh, förmånsv. 3900 kr/mån brutto </t>
  </si>
  <si>
    <t xml:space="preserve">Opel e-Vivaro L2 50 kWh, förmånsv. 3400 kr/mån brutto </t>
  </si>
  <si>
    <t xml:space="preserve">Peugeot e-Expert L2 50 kWh, förmånsv. 3300 kr/mån brutto </t>
  </si>
  <si>
    <t xml:space="preserve">Maxus e-Deliver 3, 6,3 kbm 52 kWh, förmånsv. 2700 kr/mån brutto </t>
  </si>
  <si>
    <t xml:space="preserve">VW e-Crafter, förmånsv. 3900 kr/mån brutto </t>
  </si>
  <si>
    <t>förbruk-ning kWh/mil</t>
  </si>
  <si>
    <t xml:space="preserve">Citroën e-Berlingo L2 75kWh. förmånsv. 4200 kr/mån brutto </t>
  </si>
  <si>
    <t>Ford Transit Custom Trend PHEV laddhybrid, förmånsv. 3700 kr/mån brutto</t>
  </si>
  <si>
    <t>skatt     år 4-5</t>
  </si>
  <si>
    <t>kapitaltjänst per år vid              4 % ränta                    ex moms</t>
  </si>
  <si>
    <t>SEAT Ibiza TGI 90 Style man (biogas), förmånsv. 2500 kr/mån brutto</t>
  </si>
  <si>
    <t>Skoda Scala G-tec 90 Style man (biogas), förmånsv. 3000 kr/mån brutto</t>
  </si>
  <si>
    <t>SEAT Leon ST 1.5 TGI 130 DSG7 Style biogas, förmånsv. 2900 kr/mån brutto</t>
  </si>
  <si>
    <t>VW Golf TGI 130 5d DSG biogas, förmånsv. 3150 kr/mån brutto</t>
  </si>
  <si>
    <t>Skoda Octavia G-tec DSG 130 Ambition biogas, förmånsv. 3050 kr/mån brutto</t>
  </si>
  <si>
    <t>Skoda Enyaq 60 kWh, förmånsv. 3850 kr/mån brutto</t>
  </si>
  <si>
    <t xml:space="preserve">Maxus Euniq MPV 7-sits (el), förmånsv. 3300 kr/mån brutto </t>
  </si>
  <si>
    <t>Polestar 2 LR AWD (el), förmånsv. 4300 kr/mån brutto</t>
  </si>
  <si>
    <t>Volvo XC40 Recharge P8 AWD (el), förmånsv. 4000 kr/mån brutto</t>
  </si>
  <si>
    <t>Kia Ceed SW PHEV laddhybrid, förmånsv. 2950 kr/mån brutto</t>
  </si>
  <si>
    <t>Renault Mégane PHEV laddhybrid, förmånsv. 3100 kr/mån brutto</t>
  </si>
  <si>
    <t>Renault Capture PHEV laddhybrid, förmånsv. 3000 kr/mån brutto</t>
  </si>
  <si>
    <t>Peugeot 3008 PHEV laddhybrid, förmånsv. 3400 kr/mån brutto</t>
  </si>
  <si>
    <t>Skoda Octavia combi iV PHEV laddhybrid, förmånsv. 3400 kr/mån brutto</t>
  </si>
  <si>
    <t>VW Passat GTE kombi laddhybrid, förmånsv. 3400 kr/mån brutto</t>
  </si>
  <si>
    <t xml:space="preserve">Renault Kangoo Maxi ZE (el) köp, förmånsv. 3100 kr/mån brutto </t>
  </si>
  <si>
    <t xml:space="preserve">Renault Kangoo Maxi ZE (el) hyr, förmånsv. 3100 kr/mån brutto </t>
  </si>
  <si>
    <t>Fiat Doblo L1 Nordic CNG biogas, förmånsv. 3000 kr/mån brutto</t>
  </si>
  <si>
    <t xml:space="preserve">Citroen Jumpy L2 120 BlueHDi aut HVO100, förmånsv. 5500 kr/mån brutto </t>
  </si>
  <si>
    <t>Iveco Daily 3.0 Natural Power (biogas), förmånsv. 6400 kr/mån brutto</t>
  </si>
  <si>
    <t xml:space="preserve">Renault Master ZE (el) L2H2, förmånsv. 4300 kr/mån brutto </t>
  </si>
  <si>
    <t xml:space="preserve">jämförelsebil VW Caddy Cargo 122 TDI (diesel) DSG, förmånsv. 4000 kr/mån brutto </t>
  </si>
  <si>
    <t>kapital-tjänstens (värde-minskningens) andel av totkostn</t>
  </si>
  <si>
    <t>nya modellen /VIII</t>
  </si>
  <si>
    <t>uppskattat ungefärligt förmånsvärde</t>
  </si>
  <si>
    <t xml:space="preserve">Hyundai Ioniq 5 1st Edition 72 kWh RWD, förmånsv. ca 4000 kr/mån brutto </t>
  </si>
  <si>
    <t xml:space="preserve">Hyundai Ioniq 5 Essential 58 kWh RWD, förmånsv. ca 4000 kr/mån brutto </t>
  </si>
  <si>
    <t>Iveco Daily 3,5 ton skåp HVO100, förmånsv. 7707 kr/mån</t>
  </si>
  <si>
    <t>jämförelsebil Seat Ibiza TSI 95 Style man, förmånsv. 2772 kr/mån</t>
  </si>
  <si>
    <t>Audi A4 40 g-tron Proline S tronic, förmånsv. 3692 kr/mån</t>
  </si>
  <si>
    <t>Audi A4 40 TDI Proline S tronic, förmånsv. 4716 kr/mån</t>
  </si>
  <si>
    <t>Maxus EV80 H3 11,5 kbm 56 kWh, förmånsv. 9 526 kr/mån</t>
  </si>
  <si>
    <t>VW ABT e-Caddy Maxi, förmånsv. 6 249 kr/mån</t>
  </si>
  <si>
    <t>diesel (kr/liter)</t>
  </si>
  <si>
    <t>utsläpp NEDC (g/km)</t>
  </si>
  <si>
    <t>Obs! Förbrukn avser kg gas/mil för biogasbilar, kWh/mil för elbilar resp liter/mil för HVO100-, diesel- och bensinbilar</t>
  </si>
  <si>
    <t xml:space="preserve">Suzuki Vitara 1.4T CNG AllGrip 4x4 (4WD), förmånsv. 3 055 kr/mån brutto </t>
  </si>
  <si>
    <t xml:space="preserve">Suzuki S-Cross 1.4T CNG AllGrip 4x4 (4WD), förmånsv. 3100 kr/mån brutto </t>
  </si>
  <si>
    <t xml:space="preserve">Suzuki Swift 1.2 CNG Allgrip 4x4 (4WD), förmånsv. 2 700 kr/mån brutto </t>
  </si>
  <si>
    <t>VW Tiguan elegance e-hybrid, laddhyb, förmånsv. 3600 kr/mån brutto</t>
  </si>
  <si>
    <t>jmf-bil Audi A4 40 TFSI quattro Proline S tronic, förmånsv. 4823 kr/mån</t>
  </si>
  <si>
    <t>Så här använder du kalkylverktyget</t>
  </si>
  <si>
    <t>a.       Du kan göra ett val i cellen B6 personbil (PB) eller lätt lastbil (LLB)</t>
  </si>
  <si>
    <t>b.       Du kan göra ett val i cellen C6 (drivmedel)</t>
  </si>
  <si>
    <t>c.       Du kan göra ett val i cellen D6 (specifik fordonsmodell)</t>
  </si>
  <si>
    <t>d.       Du kan göra ett val i valfri kolumn eller en kombination av val i olika kolumner</t>
  </si>
  <si>
    <t>4.       Förfina ditt resultat:</t>
  </si>
  <si>
    <t>a.       Fyll i din årliga körsträcka, cell E4</t>
  </si>
  <si>
    <t>b.       Är dina val för tjänstebil, ja eller nej, cell E5</t>
  </si>
  <si>
    <t>c.       Har du valt laddhybrider, hur stor andel körs de på el, cell H3</t>
  </si>
  <si>
    <t>d.       Har du tillgång till dina egna bränslepriser, kan du fylla i dem i cellerna O1-O5</t>
  </si>
  <si>
    <t>5.       Har du några favoriter, kan du själv skriva in en kommentar i kolumnen A och sedan filtrera efter dessa</t>
  </si>
  <si>
    <t>1.       När du startar; Se till att inga kolumner är filtrerade i fliken ”Tabell sorterbar”</t>
  </si>
  <si>
    <t>3.       Du får ditt resultat i fliken ”Diagram”, ett lagom antal fordon ger tydligast bild i fliken "Diagram"</t>
  </si>
  <si>
    <t>2.       Nu kan du göra ett urval: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</si>
</sst>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r&quot;_-;\-* #,##0.00\ &quot;kr&quot;_-;_-* &quot;-&quot;??\ &quot;kr&quot;_-;_-@_-"/>
    <numFmt numFmtId="164" formatCode="&quot;kr&quot;#,##0_);[Red]\(&quot;kr&quot;#,##0\)"/>
    <numFmt numFmtId="165" formatCode="_(&quot;kr&quot;* #,##0.00_);_(&quot;kr&quot;* \(#,##0.00\);_(&quot;kr&quot;* &quot;-&quot;??_);_(@_)"/>
    <numFmt numFmtId="166" formatCode="_-* #,##0\ &quot;kr&quot;_-;\-* #,##0\ &quot;kr&quot;_-;_-* &quot;-&quot;??\ &quot;kr&quot;_-;_-@_-"/>
    <numFmt numFmtId="167" formatCode="#,##0.0\ &quot;kr&quot;;[Red]\-#,##0.0\ &quot;kr&quot;"/>
    <numFmt numFmtId="168" formatCode="#,##0.0_ ;\-#,##0.0\ "/>
    <numFmt numFmtId="169" formatCode="#,##0.00_ ;\-#,##0.00\ "/>
    <numFmt numFmtId="170" formatCode="#,##0_ ;\-#,##0\ "/>
    <numFmt numFmtId="171" formatCode="#,##0\ &quot;kr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9"/>
      <color theme="1"/>
      <name val="Cambria"/>
      <family val="1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mbria"/>
      <family val="1"/>
    </font>
    <font>
      <vertAlign val="subscript"/>
      <sz val="11"/>
      <color theme="1"/>
      <name val="Cambria"/>
      <family val="1"/>
    </font>
    <font>
      <sz val="8"/>
      <name val="Calibri"/>
      <family val="2"/>
      <scheme val="minor"/>
    </font>
    <font>
      <sz val="16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Segoe UI"/>
      <family val="2"/>
    </font>
    <font>
      <sz val="8"/>
      <color theme="1"/>
      <name val="Cambria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</xf>
    <xf numFmtId="3" fontId="10" fillId="2" borderId="0" xfId="0" applyNumberFormat="1" applyFont="1" applyFill="1" applyAlignment="1" applyProtection="1">
      <alignment horizontal="center" vertical="center"/>
      <protection locked="0"/>
    </xf>
    <xf numFmtId="165" fontId="10" fillId="2" borderId="0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right" vertical="top" wrapText="1"/>
    </xf>
    <xf numFmtId="0" fontId="3" fillId="0" borderId="3" xfId="0" applyFont="1" applyFill="1" applyBorder="1" applyAlignment="1" applyProtection="1">
      <alignment horizontal="right" vertical="top" wrapText="1"/>
    </xf>
    <xf numFmtId="0" fontId="0" fillId="0" borderId="3" xfId="0" applyBorder="1" applyAlignment="1" applyProtection="1">
      <alignment horizontal="right" vertical="top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166" fontId="3" fillId="0" borderId="3" xfId="1" applyNumberFormat="1" applyFont="1" applyBorder="1" applyAlignment="1" applyProtection="1">
      <alignment horizontal="center" vertical="top" wrapText="1"/>
    </xf>
    <xf numFmtId="10" fontId="3" fillId="4" borderId="3" xfId="0" applyNumberFormat="1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</xf>
    <xf numFmtId="166" fontId="3" fillId="0" borderId="4" xfId="1" applyNumberFormat="1" applyFont="1" applyFill="1" applyBorder="1" applyAlignment="1" applyProtection="1">
      <alignment horizontal="right" vertical="center"/>
    </xf>
    <xf numFmtId="14" fontId="5" fillId="0" borderId="4" xfId="0" applyNumberFormat="1" applyFont="1" applyBorder="1" applyAlignment="1" applyProtection="1">
      <alignment horizontal="right" vertical="center"/>
    </xf>
    <xf numFmtId="166" fontId="3" fillId="0" borderId="4" xfId="1" applyNumberFormat="1" applyFont="1" applyBorder="1" applyAlignment="1" applyProtection="1">
      <alignment horizontal="right" vertical="center"/>
    </xf>
    <xf numFmtId="166" fontId="3" fillId="0" borderId="2" xfId="1" applyNumberFormat="1" applyFont="1" applyBorder="1" applyAlignment="1" applyProtection="1">
      <alignment horizontal="right" vertical="center"/>
    </xf>
    <xf numFmtId="166" fontId="3" fillId="0" borderId="2" xfId="1" applyNumberFormat="1" applyFont="1" applyFill="1" applyBorder="1" applyAlignment="1" applyProtection="1">
      <alignment horizontal="right" vertical="center"/>
    </xf>
    <xf numFmtId="169" fontId="3" fillId="0" borderId="4" xfId="1" applyNumberFormat="1" applyFont="1" applyBorder="1" applyAlignment="1" applyProtection="1">
      <alignment horizontal="right" vertical="center"/>
    </xf>
    <xf numFmtId="165" fontId="3" fillId="0" borderId="4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Protection="1"/>
    <xf numFmtId="169" fontId="3" fillId="4" borderId="4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Border="1" applyAlignment="1" applyProtection="1">
      <alignment horizontal="center" vertical="center"/>
    </xf>
    <xf numFmtId="166" fontId="3" fillId="4" borderId="2" xfId="1" applyNumberFormat="1" applyFont="1" applyFill="1" applyBorder="1" applyAlignment="1" applyProtection="1">
      <alignment horizontal="center" vertical="center"/>
    </xf>
    <xf numFmtId="166" fontId="3" fillId="3" borderId="4" xfId="1" applyNumberFormat="1" applyFont="1" applyFill="1" applyBorder="1" applyAlignment="1" applyProtection="1">
      <alignment horizontal="right" vertical="center"/>
    </xf>
    <xf numFmtId="166" fontId="3" fillId="3" borderId="2" xfId="1" applyNumberFormat="1" applyFont="1" applyFill="1" applyBorder="1" applyAlignment="1" applyProtection="1">
      <alignment horizontal="right" vertical="center"/>
    </xf>
    <xf numFmtId="165" fontId="3" fillId="0" borderId="2" xfId="1" applyNumberFormat="1" applyFont="1" applyFill="1" applyBorder="1" applyAlignment="1" applyProtection="1">
      <alignment horizontal="right" vertical="center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168" fontId="3" fillId="4" borderId="4" xfId="1" applyNumberFormat="1" applyFont="1" applyFill="1" applyBorder="1" applyAlignment="1" applyProtection="1">
      <alignment horizontal="center" vertical="center"/>
    </xf>
    <xf numFmtId="14" fontId="5" fillId="0" borderId="2" xfId="0" applyNumberFormat="1" applyFont="1" applyBorder="1" applyAlignment="1" applyProtection="1">
      <alignment vertical="center"/>
    </xf>
    <xf numFmtId="14" fontId="5" fillId="0" borderId="2" xfId="0" applyNumberFormat="1" applyFont="1" applyBorder="1" applyAlignment="1" applyProtection="1">
      <alignment horizontal="right" vertical="center"/>
    </xf>
    <xf numFmtId="14" fontId="5" fillId="0" borderId="2" xfId="0" applyNumberFormat="1" applyFont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4" fontId="5" fillId="0" borderId="2" xfId="0" applyNumberFormat="1" applyFont="1" applyBorder="1" applyProtection="1"/>
    <xf numFmtId="3" fontId="4" fillId="3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vertical="top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top"/>
    </xf>
    <xf numFmtId="0" fontId="7" fillId="3" borderId="4" xfId="0" applyFont="1" applyFill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top"/>
    </xf>
    <xf numFmtId="0" fontId="7" fillId="3" borderId="2" xfId="0" applyFont="1" applyFill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  <protection locked="0"/>
    </xf>
    <xf numFmtId="9" fontId="0" fillId="0" borderId="0" xfId="0" applyNumberForma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9" fontId="3" fillId="3" borderId="4" xfId="2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right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top" wrapText="1"/>
    </xf>
    <xf numFmtId="169" fontId="3" fillId="0" borderId="4" xfId="1" applyNumberFormat="1" applyFont="1" applyBorder="1" applyAlignment="1" applyProtection="1">
      <alignment horizontal="center" vertical="center"/>
    </xf>
    <xf numFmtId="169" fontId="3" fillId="0" borderId="4" xfId="1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top"/>
    </xf>
    <xf numFmtId="9" fontId="3" fillId="0" borderId="4" xfId="2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66" fontId="0" fillId="0" borderId="0" xfId="0" applyNumberFormat="1" applyProtection="1">
      <protection locked="0"/>
    </xf>
    <xf numFmtId="170" fontId="3" fillId="0" borderId="2" xfId="1" applyNumberFormat="1" applyFont="1" applyBorder="1" applyAlignment="1" applyProtection="1">
      <alignment horizontal="center" vertical="center"/>
    </xf>
    <xf numFmtId="9" fontId="3" fillId="0" borderId="2" xfId="2" applyFont="1" applyBorder="1" applyAlignment="1" applyProtection="1">
      <alignment horizontal="right" vertical="center"/>
    </xf>
    <xf numFmtId="166" fontId="14" fillId="0" borderId="2" xfId="1" applyNumberFormat="1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top" wrapText="1"/>
    </xf>
    <xf numFmtId="166" fontId="4" fillId="0" borderId="2" xfId="1" applyNumberFormat="1" applyFont="1" applyFill="1" applyBorder="1" applyAlignment="1" applyProtection="1">
      <alignment horizontal="right" vertical="center"/>
    </xf>
    <xf numFmtId="166" fontId="4" fillId="0" borderId="2" xfId="1" applyNumberFormat="1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left" vertical="center"/>
    </xf>
    <xf numFmtId="1" fontId="0" fillId="0" borderId="0" xfId="0" applyNumberFormat="1" applyProtection="1">
      <protection locked="0"/>
    </xf>
    <xf numFmtId="168" fontId="3" fillId="3" borderId="4" xfId="1" applyNumberFormat="1" applyFont="1" applyFill="1" applyBorder="1" applyAlignment="1" applyProtection="1">
      <alignment horizontal="center" vertical="center"/>
    </xf>
    <xf numFmtId="168" fontId="3" fillId="0" borderId="4" xfId="1" applyNumberFormat="1" applyFont="1" applyBorder="1" applyAlignment="1" applyProtection="1">
      <alignment horizontal="center" vertical="center"/>
    </xf>
    <xf numFmtId="165" fontId="0" fillId="0" borderId="0" xfId="1" applyFont="1" applyProtection="1">
      <protection locked="0"/>
    </xf>
    <xf numFmtId="0" fontId="3" fillId="0" borderId="3" xfId="0" applyFont="1" applyBorder="1" applyAlignment="1" applyProtection="1">
      <alignment horizontal="left" vertical="top" wrapText="1"/>
    </xf>
    <xf numFmtId="9" fontId="3" fillId="0" borderId="2" xfId="2" applyFont="1" applyBorder="1" applyAlignment="1" applyProtection="1">
      <alignment horizontal="center" vertical="center"/>
    </xf>
    <xf numFmtId="166" fontId="4" fillId="2" borderId="2" xfId="1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2" fontId="3" fillId="0" borderId="2" xfId="0" applyNumberFormat="1" applyFont="1" applyBorder="1" applyProtection="1"/>
    <xf numFmtId="171" fontId="3" fillId="0" borderId="4" xfId="1" applyNumberFormat="1" applyFont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left" vertical="center"/>
    </xf>
    <xf numFmtId="14" fontId="5" fillId="0" borderId="2" xfId="0" applyNumberFormat="1" applyFont="1" applyFill="1" applyBorder="1" applyAlignment="1" applyProtection="1">
      <alignment horizontal="right" vertical="center"/>
    </xf>
    <xf numFmtId="44" fontId="3" fillId="0" borderId="4" xfId="1" applyNumberFormat="1" applyFont="1" applyBorder="1" applyAlignment="1" applyProtection="1">
      <alignment horizontal="right" vertical="center"/>
    </xf>
    <xf numFmtId="44" fontId="3" fillId="4" borderId="2" xfId="1" applyNumberFormat="1" applyFont="1" applyFill="1" applyBorder="1" applyAlignment="1" applyProtection="1">
      <alignment horizontal="center" vertical="center"/>
    </xf>
    <xf numFmtId="14" fontId="5" fillId="0" borderId="4" xfId="0" applyNumberFormat="1" applyFont="1" applyBorder="1" applyProtection="1"/>
    <xf numFmtId="166" fontId="14" fillId="0" borderId="4" xfId="1" applyNumberFormat="1" applyFont="1" applyFill="1" applyBorder="1" applyAlignment="1" applyProtection="1">
      <alignment horizontal="right" vertical="center"/>
    </xf>
    <xf numFmtId="0" fontId="16" fillId="0" borderId="0" xfId="0" applyFont="1" applyFill="1"/>
    <xf numFmtId="165" fontId="16" fillId="0" borderId="0" xfId="1" applyFont="1" applyFill="1"/>
    <xf numFmtId="0" fontId="16" fillId="0" borderId="0" xfId="0" applyFont="1" applyFill="1" applyAlignment="1">
      <alignment horizontal="right" vertical="center"/>
    </xf>
    <xf numFmtId="0" fontId="16" fillId="0" borderId="0" xfId="0" quotePrefix="1" applyFont="1" applyFill="1"/>
    <xf numFmtId="0" fontId="15" fillId="0" borderId="0" xfId="0" applyFont="1" applyFill="1"/>
    <xf numFmtId="166" fontId="16" fillId="0" borderId="0" xfId="1" applyNumberFormat="1" applyFont="1" applyFill="1" applyAlignment="1">
      <alignment horizontal="right" vertical="center"/>
    </xf>
    <xf numFmtId="166" fontId="16" fillId="0" borderId="0" xfId="1" quotePrefix="1" applyNumberFormat="1" applyFont="1" applyFill="1"/>
    <xf numFmtId="0" fontId="15" fillId="0" borderId="0" xfId="0" applyFont="1" applyFill="1" applyAlignment="1">
      <alignment wrapText="1"/>
    </xf>
    <xf numFmtId="166" fontId="16" fillId="0" borderId="0" xfId="1" applyNumberFormat="1" applyFont="1" applyFill="1" applyAlignment="1">
      <alignment horizontal="right"/>
    </xf>
    <xf numFmtId="165" fontId="16" fillId="0" borderId="0" xfId="0" applyNumberFormat="1" applyFont="1" applyFill="1"/>
    <xf numFmtId="165" fontId="16" fillId="0" borderId="0" xfId="1" applyFont="1" applyFill="1" applyAlignment="1">
      <alignment horizontal="right" vertical="center"/>
    </xf>
    <xf numFmtId="166" fontId="16" fillId="0" borderId="0" xfId="0" applyNumberFormat="1" applyFont="1" applyFill="1"/>
    <xf numFmtId="165" fontId="16" fillId="0" borderId="0" xfId="1" applyNumberFormat="1" applyFont="1" applyFill="1"/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top"/>
    </xf>
    <xf numFmtId="3" fontId="16" fillId="0" borderId="0" xfId="0" applyNumberFormat="1" applyFont="1" applyFill="1"/>
    <xf numFmtId="9" fontId="15" fillId="0" borderId="0" xfId="0" applyNumberFormat="1" applyFont="1" applyFill="1" applyAlignment="1">
      <alignment horizontal="center" vertical="center" wrapText="1"/>
    </xf>
    <xf numFmtId="165" fontId="15" fillId="0" borderId="0" xfId="1" applyNumberFormat="1" applyFont="1" applyFill="1" applyAlignment="1">
      <alignment horizontal="center" vertical="center" wrapText="1"/>
    </xf>
    <xf numFmtId="166" fontId="15" fillId="0" borderId="0" xfId="1" applyNumberFormat="1" applyFont="1" applyFill="1" applyAlignment="1">
      <alignment horizontal="center" vertical="center" wrapText="1"/>
    </xf>
    <xf numFmtId="10" fontId="16" fillId="0" borderId="0" xfId="0" applyNumberFormat="1" applyFont="1" applyFill="1"/>
    <xf numFmtId="10" fontId="16" fillId="0" borderId="0" xfId="0" applyNumberFormat="1" applyFont="1" applyFill="1" applyAlignment="1">
      <alignment horizontal="center" vertical="center"/>
    </xf>
    <xf numFmtId="165" fontId="16" fillId="0" borderId="0" xfId="1" applyNumberFormat="1" applyFont="1" applyFill="1" applyAlignment="1">
      <alignment horizontal="right" vertical="center"/>
    </xf>
    <xf numFmtId="164" fontId="16" fillId="0" borderId="0" xfId="0" applyNumberFormat="1" applyFont="1" applyFill="1"/>
    <xf numFmtId="167" fontId="16" fillId="0" borderId="0" xfId="0" applyNumberFormat="1" applyFont="1" applyFill="1"/>
    <xf numFmtId="166" fontId="16" fillId="0" borderId="0" xfId="1" applyNumberFormat="1" applyFont="1" applyFill="1"/>
    <xf numFmtId="0" fontId="17" fillId="0" borderId="0" xfId="0" applyFont="1"/>
    <xf numFmtId="0" fontId="2" fillId="0" borderId="0" xfId="0" applyFont="1"/>
    <xf numFmtId="0" fontId="10" fillId="0" borderId="0" xfId="0" applyFont="1" applyFill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9" fontId="10" fillId="2" borderId="0" xfId="2" applyFont="1" applyFill="1" applyAlignment="1" applyProtection="1">
      <alignment horizontal="center" vertical="center" wrapText="1"/>
      <protection locked="0"/>
    </xf>
    <xf numFmtId="9" fontId="10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wrapText="1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9813356381533E-2"/>
          <c:y val="0.13157036988904272"/>
          <c:w val="0.95996907114897001"/>
          <c:h val="0.6856944299512153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'Tabell sorterbar'!$AF$6</c:f>
              <c:strCache>
                <c:ptCount val="1"/>
                <c:pt idx="0">
                  <c:v>total kostnad företaget per mil ex förmånsvärde ex moms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8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 sorterbar'!$D$7:$D$77</c:f>
              <c:strCache>
                <c:ptCount val="71"/>
                <c:pt idx="0">
                  <c:v>Renault Zoe 52 kWh hyr, förmånsv. 2800 kr/mån brutto</c:v>
                </c:pt>
                <c:pt idx="1">
                  <c:v>Renault Kangoo Maxi ZE (el) hyr, förmånsv. 3100 kr/mån brutto </c:v>
                </c:pt>
                <c:pt idx="2">
                  <c:v>Suzuki Swift 1.2 CNG Allgrip 4x4 (4WD), förmånsv. 2 700 kr/mån brutto </c:v>
                </c:pt>
                <c:pt idx="3">
                  <c:v>Renault Zoe 52 kWh köp, förmånsv. 2800 kr/mån brutto</c:v>
                </c:pt>
                <c:pt idx="4">
                  <c:v>Maxus e-Deliver 3, 4,8 kbm 35 kWh, förmånsv. 2700 kr/mån brutto </c:v>
                </c:pt>
                <c:pt idx="5">
                  <c:v>SEAT Ibiza TGI 90 Style man (biogas), förmånsv. 2500 kr/mån brutto</c:v>
                </c:pt>
                <c:pt idx="6">
                  <c:v>Mazda MX-30 35 kWh, förmånsv. 3200 kr/mån brutto</c:v>
                </c:pt>
                <c:pt idx="7">
                  <c:v>Renault Kangoo Maxi ZE (el) köp, förmånsv. 3100 kr/mån brutto </c:v>
                </c:pt>
                <c:pt idx="8">
                  <c:v>Nissan e-NV200, förmånsv. 2900 kr/mån brutto </c:v>
                </c:pt>
                <c:pt idx="9">
                  <c:v>Hyundai Kona 39 kWh, förmånsv. 2500 kr/mån brutto </c:v>
                </c:pt>
                <c:pt idx="10">
                  <c:v>Peugeot 208 1.5 HDi 100 HVO100, förmånsv. 3000 kr/mån brutto</c:v>
                </c:pt>
                <c:pt idx="11">
                  <c:v>Peugeot e-208, förmånsv. 2400 kr/mån brutto</c:v>
                </c:pt>
                <c:pt idx="12">
                  <c:v>Fiat Doblo L1 Nordic CNG biogas, förmånsv. 3000 kr/mån brutto</c:v>
                </c:pt>
                <c:pt idx="13">
                  <c:v>DFSK Seres 3 Electric 53 kWh, förmånsv. 3350 kr/mån brutto </c:v>
                </c:pt>
                <c:pt idx="14">
                  <c:v>Hyundai Ioniq 38 kWh, förmånsv. 3200 kr/mån brutto</c:v>
                </c:pt>
                <c:pt idx="15">
                  <c:v>Nissan Leaf 40 kWh, förmånsv. 2600 kr/mån brutto</c:v>
                </c:pt>
                <c:pt idx="16">
                  <c:v>Skoda Scala G-tec 90 Style man (biogas), förmånsv. 3000 kr/mån brutto</c:v>
                </c:pt>
                <c:pt idx="17">
                  <c:v>SEAT Leon ST 1.5 TGI 130 DSG7 Style biogas, förmånsv. 2900 kr/mån brutto</c:v>
                </c:pt>
                <c:pt idx="18">
                  <c:v>Citroen e-Jumpy L2 50 kWh, förmånsv. 3900 kr/mån brutto </c:v>
                </c:pt>
                <c:pt idx="19">
                  <c:v>Opel e-Vivaro L2 50 kWh, förmånsv. 3400 kr/mån brutto </c:v>
                </c:pt>
                <c:pt idx="20">
                  <c:v>Peugeot e-Expert L2 50 kWh, förmånsv. 3300 kr/mån brutto </c:v>
                </c:pt>
                <c:pt idx="21">
                  <c:v>Maxus e-Deliver 3, 6,3 kbm 52 kWh, förmånsv. 2700 kr/mån brutto </c:v>
                </c:pt>
                <c:pt idx="22">
                  <c:v>VW ABT e-Caddy Maxi, förmånsv. 6 249 kr/mån</c:v>
                </c:pt>
                <c:pt idx="23">
                  <c:v>Kia Ceed SW PHEV laddhybrid, förmånsv. 2950 kr/mån brutto</c:v>
                </c:pt>
                <c:pt idx="24">
                  <c:v>VW ID.3 Life 58 kWh, förmånsv. 3200 kr/mån brutto</c:v>
                </c:pt>
                <c:pt idx="25">
                  <c:v>VW Golf TGI 130 5d DSG biogas, förmånsv. 3150 kr/mån brutto</c:v>
                </c:pt>
                <c:pt idx="26">
                  <c:v>Nissan e-NV200 7-sits, förmånsv. 3000 kr/mån brutto</c:v>
                </c:pt>
                <c:pt idx="27">
                  <c:v>VW ID.4 City 52 kWh, förmånsv. 3500 kr/mån brutto</c:v>
                </c:pt>
                <c:pt idx="28">
                  <c:v>Skoda Octavia G-tec DSG 130 Ambition biogas, förmånsv. 3050 kr/mån brutto</c:v>
                </c:pt>
                <c:pt idx="29">
                  <c:v>Skoda Enyaq 60 kWh, förmånsv. 3850 kr/mån brutto</c:v>
                </c:pt>
                <c:pt idx="30">
                  <c:v>Suzuki Vitara 1.4T CNG AllGrip 4x4 (4WD), förmånsv. 3 055 kr/mån brutto </c:v>
                </c:pt>
                <c:pt idx="31">
                  <c:v>Suzuki S-Cross 1.4T CNG AllGrip 4x4 (4WD), förmånsv. 3100 kr/mån brutto </c:v>
                </c:pt>
                <c:pt idx="32">
                  <c:v>Renault Mégane PHEV laddhybrid, förmånsv. 3100 kr/mån brutto</c:v>
                </c:pt>
                <c:pt idx="33">
                  <c:v>Peugeot 308 SW 1.5 HDi 100 aut HVO100, förmånsv. 3500 kr/mån brutto</c:v>
                </c:pt>
                <c:pt idx="34">
                  <c:v>Renault Capture PHEV laddhybrid, förmånsv. 3000 kr/mån brutto</c:v>
                </c:pt>
                <c:pt idx="35">
                  <c:v>Renault Megane Sport Tourer 1.5 dCi 115 EDC (aut) HVO100, förmånsv. 3700 kr/mån brutto</c:v>
                </c:pt>
                <c:pt idx="36">
                  <c:v>Hyundai Ioniq 5 Essential 58 kWh RWD, förmånsv. ca 4000 kr/mån brutto </c:v>
                </c:pt>
                <c:pt idx="37">
                  <c:v>Nissan Qashqai 1.5 dCi 115 2WD aut HVO100, förmånsv. 3800 kr/mån brutto</c:v>
                </c:pt>
                <c:pt idx="38">
                  <c:v>Kia e-Niro 64 kWh, förmånsvärde 2900 kr/mån brutto </c:v>
                </c:pt>
                <c:pt idx="39">
                  <c:v>Citroën e-Berlingo L2 75kWh. förmånsv. 4200 kr/mån brutto </c:v>
                </c:pt>
                <c:pt idx="40">
                  <c:v>Citroen Jumpy L2 120 BlueHDi aut HVO100, förmånsv. 5500 kr/mån brutto </c:v>
                </c:pt>
                <c:pt idx="41">
                  <c:v>Peugeot 3008 PHEV laddhybrid, förmånsv. 3400 kr/mån brutto</c:v>
                </c:pt>
                <c:pt idx="42">
                  <c:v>Maxus Euniq MPV 7-sits (el), förmånsv. 3300 kr/mån brutto </c:v>
                </c:pt>
                <c:pt idx="43">
                  <c:v>Skoda Octavia combi iV PHEV laddhybrid, förmånsv. 3400 kr/mån brutto</c:v>
                </c:pt>
                <c:pt idx="44">
                  <c:v>Tesla 3 Standard Range Plus 2WD, förmånsvärde 3600 kr/mån brutto</c:v>
                </c:pt>
                <c:pt idx="45">
                  <c:v>DFSK Fengon 580 Biogashybrid, förmånsv. 3800 kr/mån brutto</c:v>
                </c:pt>
                <c:pt idx="46">
                  <c:v>Maxus EV80 chassi 56 kWh</c:v>
                </c:pt>
                <c:pt idx="47">
                  <c:v>DFSK Fengon 5 Biogashybrid, förmånsv. 3800 kr/mån brutto</c:v>
                </c:pt>
                <c:pt idx="48">
                  <c:v>VW Passat GTE kombi laddhybrid, förmånsv. 3400 kr/mån brutto</c:v>
                </c:pt>
                <c:pt idx="49">
                  <c:v>VW Tiguan elegance e-hybrid, laddhyb, förmånsv. 3600 kr/mån brutto</c:v>
                </c:pt>
                <c:pt idx="50">
                  <c:v>VW ABT e-Transporter, förmånsv. 4300 kr/mån brutto </c:v>
                </c:pt>
                <c:pt idx="51">
                  <c:v>Iveco Daily 3.0 Natural Power (biogas), förmånsv. 6400 kr/mån brutto</c:v>
                </c:pt>
                <c:pt idx="52">
                  <c:v>Hyundai Ioniq 5 1st Edition 72 kWh RWD, förmånsv. ca 4000 kr/mån brutto </c:v>
                </c:pt>
                <c:pt idx="53">
                  <c:v>Maxus EV80 H3 11,5 kbm 56 kWh, förmånsv. 9 526 kr/mån</c:v>
                </c:pt>
                <c:pt idx="54">
                  <c:v>Renault Master ZE (el) L2H2, förmånsv. 4300 kr/mån brutto </c:v>
                </c:pt>
                <c:pt idx="55">
                  <c:v>Volvo V60 B4 HVO100, förmånsv. 4400 kr/mån brutto </c:v>
                </c:pt>
                <c:pt idx="56">
                  <c:v>Polestar 2 LR AWD (el), förmånsv. 4300 kr/mån brutto</c:v>
                </c:pt>
                <c:pt idx="57">
                  <c:v>Ford Transit Custom Trend PHEV laddhybrid, förmånsv. 3700 kr/mån brutto</c:v>
                </c:pt>
                <c:pt idx="58">
                  <c:v>Audi A4 40 g-tron Proline S tronic, förmånsv. 3692 kr/mån</c:v>
                </c:pt>
                <c:pt idx="59">
                  <c:v>VW e-Crafter, förmånsv. 3900 kr/mån brutto </c:v>
                </c:pt>
                <c:pt idx="60">
                  <c:v>Volvo V60 T6 AWD laddhybrid, förmånsv. 4200 kr/mån brutto</c:v>
                </c:pt>
                <c:pt idx="61">
                  <c:v>Iveco Daily 3,5 ton skåp HVO100, förmånsv. 7707 kr/mån</c:v>
                </c:pt>
                <c:pt idx="62">
                  <c:v>VW ID.4 Max 80kWh, förmånsv.  3800 kr/mån brutto</c:v>
                </c:pt>
                <c:pt idx="63">
                  <c:v>SEAT Tarraco CNG biogas, förmånsv. 4400 kr/mån brutto</c:v>
                </c:pt>
                <c:pt idx="64">
                  <c:v>Volvo XC40 Recharge P8 AWD (el), förmånsv. 4000 kr/mån brutto</c:v>
                </c:pt>
                <c:pt idx="65">
                  <c:v>Tesla S Long Range AWD, förmånsvärde 5600 kr/mån brutto</c:v>
                </c:pt>
                <c:pt idx="66">
                  <c:v>Audi A4 40 TDI Proline S tronic, förmånsv. 4716 kr/mån</c:v>
                </c:pt>
                <c:pt idx="67">
                  <c:v>jämförelsebil VW Caddy Cargo 122 TDI (diesel) DSG, förmånsv. 4000 kr/mån brutto </c:v>
                </c:pt>
                <c:pt idx="68">
                  <c:v>jämförelsebil Seat Ibiza TSI 95 Style man, förmånsv. 2772 kr/mån</c:v>
                </c:pt>
                <c:pt idx="69">
                  <c:v>jämförelsebil VW Golf 1.0 eTSI 110 DSG bensin, förmånsv. 3300 kr/mån brutto </c:v>
                </c:pt>
                <c:pt idx="70">
                  <c:v>jmf-bil Audi A4 40 TFSI quattro Proline S tronic, förmånsv. 4823 kr/mån</c:v>
                </c:pt>
              </c:strCache>
            </c:strRef>
          </c:cat>
          <c:val>
            <c:numRef>
              <c:f>'Tabell sorterbar'!$AF$7:$AF$77</c:f>
              <c:numCache>
                <c:formatCode>_-* #\ ##0\ "kr"_-;\-* #\ ##0\ "kr"_-;_-* "-"??\ "kr"_-;_-@_-</c:formatCode>
                <c:ptCount val="71"/>
                <c:pt idx="0">
                  <c:v>22.72293333333333</c:v>
                </c:pt>
                <c:pt idx="1">
                  <c:v>26.749333333333333</c:v>
                </c:pt>
                <c:pt idx="2">
                  <c:v>31.866666666666667</c:v>
                </c:pt>
                <c:pt idx="3">
                  <c:v>32.72293333333333</c:v>
                </c:pt>
                <c:pt idx="4">
                  <c:v>33.006666666666668</c:v>
                </c:pt>
                <c:pt idx="5">
                  <c:v>33.365333333333332</c:v>
                </c:pt>
                <c:pt idx="6">
                  <c:v>34.88133333333333</c:v>
                </c:pt>
                <c:pt idx="7">
                  <c:v>35.415999999999997</c:v>
                </c:pt>
                <c:pt idx="8">
                  <c:v>35.792133333333332</c:v>
                </c:pt>
                <c:pt idx="9">
                  <c:v>36.353333333333332</c:v>
                </c:pt>
                <c:pt idx="10">
                  <c:v>38.458560000000006</c:v>
                </c:pt>
                <c:pt idx="11">
                  <c:v>38.538133333333334</c:v>
                </c:pt>
                <c:pt idx="12">
                  <c:v>38.538666666666671</c:v>
                </c:pt>
                <c:pt idx="13">
                  <c:v>38.749333333333333</c:v>
                </c:pt>
                <c:pt idx="14">
                  <c:v>39.528266666666674</c:v>
                </c:pt>
                <c:pt idx="15">
                  <c:v>41.019999999999996</c:v>
                </c:pt>
                <c:pt idx="16">
                  <c:v>41.082666666666668</c:v>
                </c:pt>
                <c:pt idx="17">
                  <c:v>42.480000000000004</c:v>
                </c:pt>
                <c:pt idx="18">
                  <c:v>42.485199999999999</c:v>
                </c:pt>
                <c:pt idx="19">
                  <c:v>43.15186666666667</c:v>
                </c:pt>
                <c:pt idx="20">
                  <c:v>43.15186666666667</c:v>
                </c:pt>
                <c:pt idx="21">
                  <c:v>43.336666666666673</c:v>
                </c:pt>
                <c:pt idx="22">
                  <c:v>45.402666666666669</c:v>
                </c:pt>
                <c:pt idx="23">
                  <c:v>45.790000000000006</c:v>
                </c:pt>
                <c:pt idx="24">
                  <c:v>45.765866666666668</c:v>
                </c:pt>
                <c:pt idx="25">
                  <c:v>46.544000000000004</c:v>
                </c:pt>
                <c:pt idx="26">
                  <c:v>47.125466666666668</c:v>
                </c:pt>
                <c:pt idx="27">
                  <c:v>47.35</c:v>
                </c:pt>
                <c:pt idx="28">
                  <c:v>47.353333333333332</c:v>
                </c:pt>
                <c:pt idx="29">
                  <c:v>47.779066666666672</c:v>
                </c:pt>
                <c:pt idx="30">
                  <c:v>47.87733333333334</c:v>
                </c:pt>
                <c:pt idx="31">
                  <c:v>47.948666666666668</c:v>
                </c:pt>
                <c:pt idx="32">
                  <c:v>48.456666666666671</c:v>
                </c:pt>
                <c:pt idx="33">
                  <c:v>49.064080000000004</c:v>
                </c:pt>
                <c:pt idx="34">
                  <c:v>48.905833333333341</c:v>
                </c:pt>
                <c:pt idx="35">
                  <c:v>50.39741333333334</c:v>
                </c:pt>
                <c:pt idx="36">
                  <c:v>50.590933333333332</c:v>
                </c:pt>
                <c:pt idx="37">
                  <c:v>52.260133333333336</c:v>
                </c:pt>
                <c:pt idx="38">
                  <c:v>51.739466666666672</c:v>
                </c:pt>
                <c:pt idx="39">
                  <c:v>52.260799999999996</c:v>
                </c:pt>
                <c:pt idx="40">
                  <c:v>54.980586666666674</c:v>
                </c:pt>
                <c:pt idx="41">
                  <c:v>55.109166666666667</c:v>
                </c:pt>
                <c:pt idx="42">
                  <c:v>55.145333333333333</c:v>
                </c:pt>
                <c:pt idx="43">
                  <c:v>55.340833333333343</c:v>
                </c:pt>
                <c:pt idx="44">
                  <c:v>57.68</c:v>
                </c:pt>
                <c:pt idx="45">
                  <c:v>58.901333333333341</c:v>
                </c:pt>
                <c:pt idx="46">
                  <c:v>60.333333333333336</c:v>
                </c:pt>
                <c:pt idx="47">
                  <c:v>60.474666666666664</c:v>
                </c:pt>
                <c:pt idx="48">
                  <c:v>62.891666666666673</c:v>
                </c:pt>
                <c:pt idx="49">
                  <c:v>62.921000000000006</c:v>
                </c:pt>
                <c:pt idx="50">
                  <c:v>63.264000000000003</c:v>
                </c:pt>
                <c:pt idx="51">
                  <c:v>64.462000000000003</c:v>
                </c:pt>
                <c:pt idx="52">
                  <c:v>64.577733333333342</c:v>
                </c:pt>
                <c:pt idx="53">
                  <c:v>65.132000000000005</c:v>
                </c:pt>
                <c:pt idx="54">
                  <c:v>65.970266666666674</c:v>
                </c:pt>
                <c:pt idx="55">
                  <c:v>66.96741333333334</c:v>
                </c:pt>
                <c:pt idx="56">
                  <c:v>66.241066666666683</c:v>
                </c:pt>
                <c:pt idx="57">
                  <c:v>67.366666666666674</c:v>
                </c:pt>
                <c:pt idx="58">
                  <c:v>67.493333333333339</c:v>
                </c:pt>
                <c:pt idx="59">
                  <c:v>68.333333333333343</c:v>
                </c:pt>
                <c:pt idx="60">
                  <c:v>68.834000000000003</c:v>
                </c:pt>
                <c:pt idx="61">
                  <c:v>70.653200000000012</c:v>
                </c:pt>
                <c:pt idx="62">
                  <c:v>70.815333333333328</c:v>
                </c:pt>
                <c:pt idx="63">
                  <c:v>71.347999999999999</c:v>
                </c:pt>
                <c:pt idx="64">
                  <c:v>81.528133333333329</c:v>
                </c:pt>
                <c:pt idx="65">
                  <c:v>99.006666666666661</c:v>
                </c:pt>
                <c:pt idx="66">
                  <c:v>70.973973333333333</c:v>
                </c:pt>
                <c:pt idx="67">
                  <c:v>43.61493333333334</c:v>
                </c:pt>
                <c:pt idx="68">
                  <c:v>34.842533333333336</c:v>
                </c:pt>
                <c:pt idx="69">
                  <c:v>47.654400000000003</c:v>
                </c:pt>
                <c:pt idx="70">
                  <c:v>74.54546666666667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3-4033-BFB1-6D7070464173}"/>
            </c:ext>
          </c:extLst>
        </c:ser>
        <c:ser>
          <c:idx val="0"/>
          <c:order val="2"/>
          <c:tx>
            <c:strRef>
              <c:f>'Tabell sorterbar'!$AG$6</c:f>
              <c:strCache>
                <c:ptCount val="1"/>
                <c:pt idx="0">
                  <c:v>förmånsvärde kostnad företaget per mil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kr&quot;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 sorterbar'!$D$7:$D$77</c:f>
              <c:strCache>
                <c:ptCount val="71"/>
                <c:pt idx="0">
                  <c:v>Renault Zoe 52 kWh hyr, förmånsv. 2800 kr/mån brutto</c:v>
                </c:pt>
                <c:pt idx="1">
                  <c:v>Renault Kangoo Maxi ZE (el) hyr, förmånsv. 3100 kr/mån brutto </c:v>
                </c:pt>
                <c:pt idx="2">
                  <c:v>Suzuki Swift 1.2 CNG Allgrip 4x4 (4WD), förmånsv. 2 700 kr/mån brutto </c:v>
                </c:pt>
                <c:pt idx="3">
                  <c:v>Renault Zoe 52 kWh köp, förmånsv. 2800 kr/mån brutto</c:v>
                </c:pt>
                <c:pt idx="4">
                  <c:v>Maxus e-Deliver 3, 4,8 kbm 35 kWh, förmånsv. 2700 kr/mån brutto </c:v>
                </c:pt>
                <c:pt idx="5">
                  <c:v>SEAT Ibiza TGI 90 Style man (biogas), förmånsv. 2500 kr/mån brutto</c:v>
                </c:pt>
                <c:pt idx="6">
                  <c:v>Mazda MX-30 35 kWh, förmånsv. 3200 kr/mån brutto</c:v>
                </c:pt>
                <c:pt idx="7">
                  <c:v>Renault Kangoo Maxi ZE (el) köp, förmånsv. 3100 kr/mån brutto </c:v>
                </c:pt>
                <c:pt idx="8">
                  <c:v>Nissan e-NV200, förmånsv. 2900 kr/mån brutto </c:v>
                </c:pt>
                <c:pt idx="9">
                  <c:v>Hyundai Kona 39 kWh, förmånsv. 2500 kr/mån brutto </c:v>
                </c:pt>
                <c:pt idx="10">
                  <c:v>Peugeot 208 1.5 HDi 100 HVO100, förmånsv. 3000 kr/mån brutto</c:v>
                </c:pt>
                <c:pt idx="11">
                  <c:v>Peugeot e-208, förmånsv. 2400 kr/mån brutto</c:v>
                </c:pt>
                <c:pt idx="12">
                  <c:v>Fiat Doblo L1 Nordic CNG biogas, förmånsv. 3000 kr/mån brutto</c:v>
                </c:pt>
                <c:pt idx="13">
                  <c:v>DFSK Seres 3 Electric 53 kWh, förmånsv. 3350 kr/mån brutto </c:v>
                </c:pt>
                <c:pt idx="14">
                  <c:v>Hyundai Ioniq 38 kWh, förmånsv. 3200 kr/mån brutto</c:v>
                </c:pt>
                <c:pt idx="15">
                  <c:v>Nissan Leaf 40 kWh, förmånsv. 2600 kr/mån brutto</c:v>
                </c:pt>
                <c:pt idx="16">
                  <c:v>Skoda Scala G-tec 90 Style man (biogas), förmånsv. 3000 kr/mån brutto</c:v>
                </c:pt>
                <c:pt idx="17">
                  <c:v>SEAT Leon ST 1.5 TGI 130 DSG7 Style biogas, förmånsv. 2900 kr/mån brutto</c:v>
                </c:pt>
                <c:pt idx="18">
                  <c:v>Citroen e-Jumpy L2 50 kWh, förmånsv. 3900 kr/mån brutto </c:v>
                </c:pt>
                <c:pt idx="19">
                  <c:v>Opel e-Vivaro L2 50 kWh, förmånsv. 3400 kr/mån brutto </c:v>
                </c:pt>
                <c:pt idx="20">
                  <c:v>Peugeot e-Expert L2 50 kWh, förmånsv. 3300 kr/mån brutto </c:v>
                </c:pt>
                <c:pt idx="21">
                  <c:v>Maxus e-Deliver 3, 6,3 kbm 52 kWh, förmånsv. 2700 kr/mån brutto </c:v>
                </c:pt>
                <c:pt idx="22">
                  <c:v>VW ABT e-Caddy Maxi, förmånsv. 6 249 kr/mån</c:v>
                </c:pt>
                <c:pt idx="23">
                  <c:v>Kia Ceed SW PHEV laddhybrid, förmånsv. 2950 kr/mån brutto</c:v>
                </c:pt>
                <c:pt idx="24">
                  <c:v>VW ID.3 Life 58 kWh, förmånsv. 3200 kr/mån brutto</c:v>
                </c:pt>
                <c:pt idx="25">
                  <c:v>VW Golf TGI 130 5d DSG biogas, förmånsv. 3150 kr/mån brutto</c:v>
                </c:pt>
                <c:pt idx="26">
                  <c:v>Nissan e-NV200 7-sits, förmånsv. 3000 kr/mån brutto</c:v>
                </c:pt>
                <c:pt idx="27">
                  <c:v>VW ID.4 City 52 kWh, förmånsv. 3500 kr/mån brutto</c:v>
                </c:pt>
                <c:pt idx="28">
                  <c:v>Skoda Octavia G-tec DSG 130 Ambition biogas, förmånsv. 3050 kr/mån brutto</c:v>
                </c:pt>
                <c:pt idx="29">
                  <c:v>Skoda Enyaq 60 kWh, förmånsv. 3850 kr/mån brutto</c:v>
                </c:pt>
                <c:pt idx="30">
                  <c:v>Suzuki Vitara 1.4T CNG AllGrip 4x4 (4WD), förmånsv. 3 055 kr/mån brutto </c:v>
                </c:pt>
                <c:pt idx="31">
                  <c:v>Suzuki S-Cross 1.4T CNG AllGrip 4x4 (4WD), förmånsv. 3100 kr/mån brutto </c:v>
                </c:pt>
                <c:pt idx="32">
                  <c:v>Renault Mégane PHEV laddhybrid, förmånsv. 3100 kr/mån brutto</c:v>
                </c:pt>
                <c:pt idx="33">
                  <c:v>Peugeot 308 SW 1.5 HDi 100 aut HVO100, förmånsv. 3500 kr/mån brutto</c:v>
                </c:pt>
                <c:pt idx="34">
                  <c:v>Renault Capture PHEV laddhybrid, förmånsv. 3000 kr/mån brutto</c:v>
                </c:pt>
                <c:pt idx="35">
                  <c:v>Renault Megane Sport Tourer 1.5 dCi 115 EDC (aut) HVO100, förmånsv. 3700 kr/mån brutto</c:v>
                </c:pt>
                <c:pt idx="36">
                  <c:v>Hyundai Ioniq 5 Essential 58 kWh RWD, förmånsv. ca 4000 kr/mån brutto </c:v>
                </c:pt>
                <c:pt idx="37">
                  <c:v>Nissan Qashqai 1.5 dCi 115 2WD aut HVO100, förmånsv. 3800 kr/mån brutto</c:v>
                </c:pt>
                <c:pt idx="38">
                  <c:v>Kia e-Niro 64 kWh, förmånsvärde 2900 kr/mån brutto </c:v>
                </c:pt>
                <c:pt idx="39">
                  <c:v>Citroën e-Berlingo L2 75kWh. förmånsv. 4200 kr/mån brutto </c:v>
                </c:pt>
                <c:pt idx="40">
                  <c:v>Citroen Jumpy L2 120 BlueHDi aut HVO100, förmånsv. 5500 kr/mån brutto </c:v>
                </c:pt>
                <c:pt idx="41">
                  <c:v>Peugeot 3008 PHEV laddhybrid, förmånsv. 3400 kr/mån brutto</c:v>
                </c:pt>
                <c:pt idx="42">
                  <c:v>Maxus Euniq MPV 7-sits (el), förmånsv. 3300 kr/mån brutto </c:v>
                </c:pt>
                <c:pt idx="43">
                  <c:v>Skoda Octavia combi iV PHEV laddhybrid, förmånsv. 3400 kr/mån brutto</c:v>
                </c:pt>
                <c:pt idx="44">
                  <c:v>Tesla 3 Standard Range Plus 2WD, förmånsvärde 3600 kr/mån brutto</c:v>
                </c:pt>
                <c:pt idx="45">
                  <c:v>DFSK Fengon 580 Biogashybrid, förmånsv. 3800 kr/mån brutto</c:v>
                </c:pt>
                <c:pt idx="46">
                  <c:v>Maxus EV80 chassi 56 kWh</c:v>
                </c:pt>
                <c:pt idx="47">
                  <c:v>DFSK Fengon 5 Biogashybrid, förmånsv. 3800 kr/mån brutto</c:v>
                </c:pt>
                <c:pt idx="48">
                  <c:v>VW Passat GTE kombi laddhybrid, förmånsv. 3400 kr/mån brutto</c:v>
                </c:pt>
                <c:pt idx="49">
                  <c:v>VW Tiguan elegance e-hybrid, laddhyb, förmånsv. 3600 kr/mån brutto</c:v>
                </c:pt>
                <c:pt idx="50">
                  <c:v>VW ABT e-Transporter, förmånsv. 4300 kr/mån brutto </c:v>
                </c:pt>
                <c:pt idx="51">
                  <c:v>Iveco Daily 3.0 Natural Power (biogas), förmånsv. 6400 kr/mån brutto</c:v>
                </c:pt>
                <c:pt idx="52">
                  <c:v>Hyundai Ioniq 5 1st Edition 72 kWh RWD, förmånsv. ca 4000 kr/mån brutto </c:v>
                </c:pt>
                <c:pt idx="53">
                  <c:v>Maxus EV80 H3 11,5 kbm 56 kWh, förmånsv. 9 526 kr/mån</c:v>
                </c:pt>
                <c:pt idx="54">
                  <c:v>Renault Master ZE (el) L2H2, förmånsv. 4300 kr/mån brutto </c:v>
                </c:pt>
                <c:pt idx="55">
                  <c:v>Volvo V60 B4 HVO100, förmånsv. 4400 kr/mån brutto </c:v>
                </c:pt>
                <c:pt idx="56">
                  <c:v>Polestar 2 LR AWD (el), förmånsv. 4300 kr/mån brutto</c:v>
                </c:pt>
                <c:pt idx="57">
                  <c:v>Ford Transit Custom Trend PHEV laddhybrid, förmånsv. 3700 kr/mån brutto</c:v>
                </c:pt>
                <c:pt idx="58">
                  <c:v>Audi A4 40 g-tron Proline S tronic, förmånsv. 3692 kr/mån</c:v>
                </c:pt>
                <c:pt idx="59">
                  <c:v>VW e-Crafter, förmånsv. 3900 kr/mån brutto </c:v>
                </c:pt>
                <c:pt idx="60">
                  <c:v>Volvo V60 T6 AWD laddhybrid, förmånsv. 4200 kr/mån brutto</c:v>
                </c:pt>
                <c:pt idx="61">
                  <c:v>Iveco Daily 3,5 ton skåp HVO100, förmånsv. 7707 kr/mån</c:v>
                </c:pt>
                <c:pt idx="62">
                  <c:v>VW ID.4 Max 80kWh, förmånsv.  3800 kr/mån brutto</c:v>
                </c:pt>
                <c:pt idx="63">
                  <c:v>SEAT Tarraco CNG biogas, förmånsv. 4400 kr/mån brutto</c:v>
                </c:pt>
                <c:pt idx="64">
                  <c:v>Volvo XC40 Recharge P8 AWD (el), förmånsv. 4000 kr/mån brutto</c:v>
                </c:pt>
                <c:pt idx="65">
                  <c:v>Tesla S Long Range AWD, förmånsvärde 5600 kr/mån brutto</c:v>
                </c:pt>
                <c:pt idx="66">
                  <c:v>Audi A4 40 TDI Proline S tronic, förmånsv. 4716 kr/mån</c:v>
                </c:pt>
                <c:pt idx="67">
                  <c:v>jämförelsebil VW Caddy Cargo 122 TDI (diesel) DSG, förmånsv. 4000 kr/mån brutto </c:v>
                </c:pt>
                <c:pt idx="68">
                  <c:v>jämförelsebil Seat Ibiza TSI 95 Style man, förmånsv. 2772 kr/mån</c:v>
                </c:pt>
                <c:pt idx="69">
                  <c:v>jämförelsebil VW Golf 1.0 eTSI 110 DSG bensin, förmånsv. 3300 kr/mån brutto </c:v>
                </c:pt>
                <c:pt idx="70">
                  <c:v>jmf-bil Audi A4 40 TFSI quattro Proline S tronic, förmånsv. 4823 kr/mån</c:v>
                </c:pt>
              </c:strCache>
            </c:strRef>
          </c:cat>
          <c:val>
            <c:numRef>
              <c:f>'Tabell sorterbar'!$AG$7:$AG$77</c:f>
              <c:numCache>
                <c:formatCode>_("kr"* #,##0.00_);_("kr"* \(#,##0.00\);_("kr"* "-"??_);_(@_)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53-4033-BFB1-6D707046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657052656"/>
        <c:axId val="857317168"/>
      </c:barChart>
      <c:barChart>
        <c:barDir val="col"/>
        <c:grouping val="clustered"/>
        <c:varyColors val="0"/>
        <c:ser>
          <c:idx val="1"/>
          <c:order val="0"/>
          <c:tx>
            <c:strRef>
              <c:f>'Tabell sorterbar'!$AD$6</c:f>
              <c:strCache>
                <c:ptCount val="1"/>
                <c:pt idx="0">
                  <c:v>Utsläpp per år (ton CO2) (hö skala)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8100"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 sorterbar'!$D$7:$D$77</c:f>
              <c:strCache>
                <c:ptCount val="71"/>
                <c:pt idx="0">
                  <c:v>Renault Zoe 52 kWh hyr, förmånsv. 2800 kr/mån brutto</c:v>
                </c:pt>
                <c:pt idx="1">
                  <c:v>Renault Kangoo Maxi ZE (el) hyr, förmånsv. 3100 kr/mån brutto </c:v>
                </c:pt>
                <c:pt idx="2">
                  <c:v>Suzuki Swift 1.2 CNG Allgrip 4x4 (4WD), förmånsv. 2 700 kr/mån brutto </c:v>
                </c:pt>
                <c:pt idx="3">
                  <c:v>Renault Zoe 52 kWh köp, förmånsv. 2800 kr/mån brutto</c:v>
                </c:pt>
                <c:pt idx="4">
                  <c:v>Maxus e-Deliver 3, 4,8 kbm 35 kWh, förmånsv. 2700 kr/mån brutto </c:v>
                </c:pt>
                <c:pt idx="5">
                  <c:v>SEAT Ibiza TGI 90 Style man (biogas), förmånsv. 2500 kr/mån brutto</c:v>
                </c:pt>
                <c:pt idx="6">
                  <c:v>Mazda MX-30 35 kWh, förmånsv. 3200 kr/mån brutto</c:v>
                </c:pt>
                <c:pt idx="7">
                  <c:v>Renault Kangoo Maxi ZE (el) köp, förmånsv. 3100 kr/mån brutto </c:v>
                </c:pt>
                <c:pt idx="8">
                  <c:v>Nissan e-NV200, förmånsv. 2900 kr/mån brutto </c:v>
                </c:pt>
                <c:pt idx="9">
                  <c:v>Hyundai Kona 39 kWh, förmånsv. 2500 kr/mån brutto </c:v>
                </c:pt>
                <c:pt idx="10">
                  <c:v>Peugeot 208 1.5 HDi 100 HVO100, förmånsv. 3000 kr/mån brutto</c:v>
                </c:pt>
                <c:pt idx="11">
                  <c:v>Peugeot e-208, förmånsv. 2400 kr/mån brutto</c:v>
                </c:pt>
                <c:pt idx="12">
                  <c:v>Fiat Doblo L1 Nordic CNG biogas, förmånsv. 3000 kr/mån brutto</c:v>
                </c:pt>
                <c:pt idx="13">
                  <c:v>DFSK Seres 3 Electric 53 kWh, förmånsv. 3350 kr/mån brutto </c:v>
                </c:pt>
                <c:pt idx="14">
                  <c:v>Hyundai Ioniq 38 kWh, förmånsv. 3200 kr/mån brutto</c:v>
                </c:pt>
                <c:pt idx="15">
                  <c:v>Nissan Leaf 40 kWh, förmånsv. 2600 kr/mån brutto</c:v>
                </c:pt>
                <c:pt idx="16">
                  <c:v>Skoda Scala G-tec 90 Style man (biogas), förmånsv. 3000 kr/mån brutto</c:v>
                </c:pt>
                <c:pt idx="17">
                  <c:v>SEAT Leon ST 1.5 TGI 130 DSG7 Style biogas, förmånsv. 2900 kr/mån brutto</c:v>
                </c:pt>
                <c:pt idx="18">
                  <c:v>Citroen e-Jumpy L2 50 kWh, förmånsv. 3900 kr/mån brutto </c:v>
                </c:pt>
                <c:pt idx="19">
                  <c:v>Opel e-Vivaro L2 50 kWh, förmånsv. 3400 kr/mån brutto </c:v>
                </c:pt>
                <c:pt idx="20">
                  <c:v>Peugeot e-Expert L2 50 kWh, förmånsv. 3300 kr/mån brutto </c:v>
                </c:pt>
                <c:pt idx="21">
                  <c:v>Maxus e-Deliver 3, 6,3 kbm 52 kWh, förmånsv. 2700 kr/mån brutto </c:v>
                </c:pt>
                <c:pt idx="22">
                  <c:v>VW ABT e-Caddy Maxi, förmånsv. 6 249 kr/mån</c:v>
                </c:pt>
                <c:pt idx="23">
                  <c:v>Kia Ceed SW PHEV laddhybrid, förmånsv. 2950 kr/mån brutto</c:v>
                </c:pt>
                <c:pt idx="24">
                  <c:v>VW ID.3 Life 58 kWh, förmånsv. 3200 kr/mån brutto</c:v>
                </c:pt>
                <c:pt idx="25">
                  <c:v>VW Golf TGI 130 5d DSG biogas, förmånsv. 3150 kr/mån brutto</c:v>
                </c:pt>
                <c:pt idx="26">
                  <c:v>Nissan e-NV200 7-sits, förmånsv. 3000 kr/mån brutto</c:v>
                </c:pt>
                <c:pt idx="27">
                  <c:v>VW ID.4 City 52 kWh, förmånsv. 3500 kr/mån brutto</c:v>
                </c:pt>
                <c:pt idx="28">
                  <c:v>Skoda Octavia G-tec DSG 130 Ambition biogas, förmånsv. 3050 kr/mån brutto</c:v>
                </c:pt>
                <c:pt idx="29">
                  <c:v>Skoda Enyaq 60 kWh, förmånsv. 3850 kr/mån brutto</c:v>
                </c:pt>
                <c:pt idx="30">
                  <c:v>Suzuki Vitara 1.4T CNG AllGrip 4x4 (4WD), förmånsv. 3 055 kr/mån brutto </c:v>
                </c:pt>
                <c:pt idx="31">
                  <c:v>Suzuki S-Cross 1.4T CNG AllGrip 4x4 (4WD), förmånsv. 3100 kr/mån brutto </c:v>
                </c:pt>
                <c:pt idx="32">
                  <c:v>Renault Mégane PHEV laddhybrid, förmånsv. 3100 kr/mån brutto</c:v>
                </c:pt>
                <c:pt idx="33">
                  <c:v>Peugeot 308 SW 1.5 HDi 100 aut HVO100, förmånsv. 3500 kr/mån brutto</c:v>
                </c:pt>
                <c:pt idx="34">
                  <c:v>Renault Capture PHEV laddhybrid, förmånsv. 3000 kr/mån brutto</c:v>
                </c:pt>
                <c:pt idx="35">
                  <c:v>Renault Megane Sport Tourer 1.5 dCi 115 EDC (aut) HVO100, förmånsv. 3700 kr/mån brutto</c:v>
                </c:pt>
                <c:pt idx="36">
                  <c:v>Hyundai Ioniq 5 Essential 58 kWh RWD, förmånsv. ca 4000 kr/mån brutto </c:v>
                </c:pt>
                <c:pt idx="37">
                  <c:v>Nissan Qashqai 1.5 dCi 115 2WD aut HVO100, förmånsv. 3800 kr/mån brutto</c:v>
                </c:pt>
                <c:pt idx="38">
                  <c:v>Kia e-Niro 64 kWh, förmånsvärde 2900 kr/mån brutto </c:v>
                </c:pt>
                <c:pt idx="39">
                  <c:v>Citroën e-Berlingo L2 75kWh. förmånsv. 4200 kr/mån brutto </c:v>
                </c:pt>
                <c:pt idx="40">
                  <c:v>Citroen Jumpy L2 120 BlueHDi aut HVO100, förmånsv. 5500 kr/mån brutto </c:v>
                </c:pt>
                <c:pt idx="41">
                  <c:v>Peugeot 3008 PHEV laddhybrid, förmånsv. 3400 kr/mån brutto</c:v>
                </c:pt>
                <c:pt idx="42">
                  <c:v>Maxus Euniq MPV 7-sits (el), förmånsv. 3300 kr/mån brutto </c:v>
                </c:pt>
                <c:pt idx="43">
                  <c:v>Skoda Octavia combi iV PHEV laddhybrid, förmånsv. 3400 kr/mån brutto</c:v>
                </c:pt>
                <c:pt idx="44">
                  <c:v>Tesla 3 Standard Range Plus 2WD, förmånsvärde 3600 kr/mån brutto</c:v>
                </c:pt>
                <c:pt idx="45">
                  <c:v>DFSK Fengon 580 Biogashybrid, förmånsv. 3800 kr/mån brutto</c:v>
                </c:pt>
                <c:pt idx="46">
                  <c:v>Maxus EV80 chassi 56 kWh</c:v>
                </c:pt>
                <c:pt idx="47">
                  <c:v>DFSK Fengon 5 Biogashybrid, förmånsv. 3800 kr/mån brutto</c:v>
                </c:pt>
                <c:pt idx="48">
                  <c:v>VW Passat GTE kombi laddhybrid, förmånsv. 3400 kr/mån brutto</c:v>
                </c:pt>
                <c:pt idx="49">
                  <c:v>VW Tiguan elegance e-hybrid, laddhyb, förmånsv. 3600 kr/mån brutto</c:v>
                </c:pt>
                <c:pt idx="50">
                  <c:v>VW ABT e-Transporter, förmånsv. 4300 kr/mån brutto </c:v>
                </c:pt>
                <c:pt idx="51">
                  <c:v>Iveco Daily 3.0 Natural Power (biogas), förmånsv. 6400 kr/mån brutto</c:v>
                </c:pt>
                <c:pt idx="52">
                  <c:v>Hyundai Ioniq 5 1st Edition 72 kWh RWD, förmånsv. ca 4000 kr/mån brutto </c:v>
                </c:pt>
                <c:pt idx="53">
                  <c:v>Maxus EV80 H3 11,5 kbm 56 kWh, förmånsv. 9 526 kr/mån</c:v>
                </c:pt>
                <c:pt idx="54">
                  <c:v>Renault Master ZE (el) L2H2, förmånsv. 4300 kr/mån brutto </c:v>
                </c:pt>
                <c:pt idx="55">
                  <c:v>Volvo V60 B4 HVO100, förmånsv. 4400 kr/mån brutto </c:v>
                </c:pt>
                <c:pt idx="56">
                  <c:v>Polestar 2 LR AWD (el), förmånsv. 4300 kr/mån brutto</c:v>
                </c:pt>
                <c:pt idx="57">
                  <c:v>Ford Transit Custom Trend PHEV laddhybrid, förmånsv. 3700 kr/mån brutto</c:v>
                </c:pt>
                <c:pt idx="58">
                  <c:v>Audi A4 40 g-tron Proline S tronic, förmånsv. 3692 kr/mån</c:v>
                </c:pt>
                <c:pt idx="59">
                  <c:v>VW e-Crafter, förmånsv. 3900 kr/mån brutto </c:v>
                </c:pt>
                <c:pt idx="60">
                  <c:v>Volvo V60 T6 AWD laddhybrid, förmånsv. 4200 kr/mån brutto</c:v>
                </c:pt>
                <c:pt idx="61">
                  <c:v>Iveco Daily 3,5 ton skåp HVO100, förmånsv. 7707 kr/mån</c:v>
                </c:pt>
                <c:pt idx="62">
                  <c:v>VW ID.4 Max 80kWh, förmånsv.  3800 kr/mån brutto</c:v>
                </c:pt>
                <c:pt idx="63">
                  <c:v>SEAT Tarraco CNG biogas, förmånsv. 4400 kr/mån brutto</c:v>
                </c:pt>
                <c:pt idx="64">
                  <c:v>Volvo XC40 Recharge P8 AWD (el), förmånsv. 4000 kr/mån brutto</c:v>
                </c:pt>
                <c:pt idx="65">
                  <c:v>Tesla S Long Range AWD, förmånsvärde 5600 kr/mån brutto</c:v>
                </c:pt>
                <c:pt idx="66">
                  <c:v>Audi A4 40 TDI Proline S tronic, förmånsv. 4716 kr/mån</c:v>
                </c:pt>
                <c:pt idx="67">
                  <c:v>jämförelsebil VW Caddy Cargo 122 TDI (diesel) DSG, förmånsv. 4000 kr/mån brutto </c:v>
                </c:pt>
                <c:pt idx="68">
                  <c:v>jämförelsebil Seat Ibiza TSI 95 Style man, förmånsv. 2772 kr/mån</c:v>
                </c:pt>
                <c:pt idx="69">
                  <c:v>jämförelsebil VW Golf 1.0 eTSI 110 DSG bensin, förmånsv. 3300 kr/mån brutto </c:v>
                </c:pt>
                <c:pt idx="70">
                  <c:v>jmf-bil Audi A4 40 TFSI quattro Proline S tronic, förmånsv. 4823 kr/mån</c:v>
                </c:pt>
              </c:strCache>
            </c:strRef>
          </c:cat>
          <c:val>
            <c:numRef>
              <c:f>'Tabell sorterbar'!$AD$7:$AD$77</c:f>
              <c:numCache>
                <c:formatCode>#\ ##0.00_ ;\-#\ ##0.00\ </c:formatCode>
                <c:ptCount val="71"/>
                <c:pt idx="0">
                  <c:v>3.9708240000000006E-2</c:v>
                </c:pt>
                <c:pt idx="1">
                  <c:v>4.0154400000000007E-2</c:v>
                </c:pt>
                <c:pt idx="2" formatCode="#\ ##0.0_ ;\-#\ ##0.0\ ">
                  <c:v>0.47455200000000014</c:v>
                </c:pt>
                <c:pt idx="3">
                  <c:v>3.9708240000000006E-2</c:v>
                </c:pt>
                <c:pt idx="4">
                  <c:v>5.5770000000000007E-2</c:v>
                </c:pt>
                <c:pt idx="5" formatCode="#\ ##0.0_ ;\-#\ ##0.0\ ">
                  <c:v>0.5430984000000002</c:v>
                </c:pt>
                <c:pt idx="6">
                  <c:v>4.2385200000000005E-2</c:v>
                </c:pt>
                <c:pt idx="7">
                  <c:v>4.0154400000000007E-2</c:v>
                </c:pt>
                <c:pt idx="8">
                  <c:v>5.7777720000000012E-2</c:v>
                </c:pt>
                <c:pt idx="9">
                  <c:v>3.3462000000000013E-2</c:v>
                </c:pt>
                <c:pt idx="10" formatCode="#\ ##0.0_ ;\-#\ ##0.0\ ">
                  <c:v>0.4481677200000001</c:v>
                </c:pt>
                <c:pt idx="11">
                  <c:v>3.6585120000000013E-2</c:v>
                </c:pt>
                <c:pt idx="12" formatCode="#\ ##0.0_ ;\-#\ ##0.0\ ">
                  <c:v>0.88055760000000027</c:v>
                </c:pt>
                <c:pt idx="13">
                  <c:v>4.0154400000000007E-2</c:v>
                </c:pt>
                <c:pt idx="14">
                  <c:v>3.0785040000000003E-2</c:v>
                </c:pt>
                <c:pt idx="15">
                  <c:v>3.3462000000000013E-2</c:v>
                </c:pt>
                <c:pt idx="16" formatCode="#\ ##0.0_ ;\-#\ ##0.0\ ">
                  <c:v>0.57473520000000011</c:v>
                </c:pt>
                <c:pt idx="17" formatCode="#\ ##0.0_ ;\-#\ ##0.0\ ">
                  <c:v>0.58000800000000019</c:v>
                </c:pt>
                <c:pt idx="18">
                  <c:v>5.8223880000000006E-2</c:v>
                </c:pt>
                <c:pt idx="19">
                  <c:v>5.8223880000000006E-2</c:v>
                </c:pt>
                <c:pt idx="20">
                  <c:v>5.8223880000000006E-2</c:v>
                </c:pt>
                <c:pt idx="21">
                  <c:v>6.1347000000000006E-2</c:v>
                </c:pt>
                <c:pt idx="22">
                  <c:v>6.2462400000000008E-2</c:v>
                </c:pt>
                <c:pt idx="23" formatCode="#\ ##0.0_ ;\-#\ ##0.0\ ">
                  <c:v>1.1407499999999999</c:v>
                </c:pt>
                <c:pt idx="24">
                  <c:v>3.4800480000000009E-2</c:v>
                </c:pt>
                <c:pt idx="25" formatCode="#\ ##0.0_ ;\-#\ ##0.0\ ">
                  <c:v>0.58528080000000016</c:v>
                </c:pt>
                <c:pt idx="26">
                  <c:v>5.7777720000000012E-2</c:v>
                </c:pt>
                <c:pt idx="27">
                  <c:v>3.9039000000000011E-2</c:v>
                </c:pt>
                <c:pt idx="28" formatCode="#\ ##0.0_ ;\-#\ ##0.0\ ">
                  <c:v>0.59582640000000009</c:v>
                </c:pt>
                <c:pt idx="29">
                  <c:v>3.5023560000000009E-2</c:v>
                </c:pt>
                <c:pt idx="30" formatCode="#\ ##0.0_ ;\-#\ ##0.0\ ">
                  <c:v>0.58528080000000016</c:v>
                </c:pt>
                <c:pt idx="31" formatCode="#\ ##0.0_ ;\-#\ ##0.0\ ">
                  <c:v>0.59055360000000023</c:v>
                </c:pt>
                <c:pt idx="32" formatCode="#\ ##0.0_ ;\-#\ ##0.0\ ">
                  <c:v>1.1407499999999999</c:v>
                </c:pt>
                <c:pt idx="33" formatCode="#\ ##0.0_ ;\-#\ ##0.0\ ">
                  <c:v>0.50282232000000016</c:v>
                </c:pt>
                <c:pt idx="34" formatCode="#\ ##0.0_ ;\-#\ ##0.0\ ">
                  <c:v>1.06153125</c:v>
                </c:pt>
                <c:pt idx="35" formatCode="#\ ##0.0_ ;\-#\ ##0.0\ ">
                  <c:v>0.50282232000000016</c:v>
                </c:pt>
                <c:pt idx="36">
                  <c:v>3.7477440000000008E-2</c:v>
                </c:pt>
                <c:pt idx="37" formatCode="#\ ##0.0_ ;\-#\ ##0.0\ ">
                  <c:v>0.57933876000000006</c:v>
                </c:pt>
                <c:pt idx="38">
                  <c:v>3.4354320000000008E-2</c:v>
                </c:pt>
                <c:pt idx="39">
                  <c:v>5.4431520000000004E-2</c:v>
                </c:pt>
                <c:pt idx="40" formatCode="#\ ##0.0_ ;\-#\ ##0.0\ ">
                  <c:v>0.80888808000000023</c:v>
                </c:pt>
                <c:pt idx="41" formatCode="#\ ##0.0_ ;\-#\ ##0.0\ ">
                  <c:v>1.3784062500000001</c:v>
                </c:pt>
                <c:pt idx="42">
                  <c:v>4.6846800000000015E-2</c:v>
                </c:pt>
                <c:pt idx="43" formatCode="#\ ##0.0_ ;\-#\ ##0.0\ ">
                  <c:v>1.21996875</c:v>
                </c:pt>
                <c:pt idx="44">
                  <c:v>4.461600000000001E-2</c:v>
                </c:pt>
                <c:pt idx="45" formatCode="#\ ##0.0_ ;\-#\ ##0.0\ ">
                  <c:v>0.79092000000000007</c:v>
                </c:pt>
                <c:pt idx="46">
                  <c:v>6.6924000000000025E-2</c:v>
                </c:pt>
                <c:pt idx="47" formatCode="#\ ##0.0_ ;\-#\ ##0.0\ ">
                  <c:v>0.89637600000000017</c:v>
                </c:pt>
                <c:pt idx="48" formatCode="#\ ##0.0_ ;\-#\ ##0.0\ ">
                  <c:v>1.2991875000000002</c:v>
                </c:pt>
                <c:pt idx="49" formatCode="#\ ##0.0_ ;\-#\ ##0.0\ ">
                  <c:v>1.5526875</c:v>
                </c:pt>
                <c:pt idx="50">
                  <c:v>7.1385600000000007E-2</c:v>
                </c:pt>
                <c:pt idx="51" formatCode="#\ ##0.0_ ;\-#\ ##0.0\ ">
                  <c:v>1.1705616000000003</c:v>
                </c:pt>
                <c:pt idx="52">
                  <c:v>3.7254360000000007E-2</c:v>
                </c:pt>
                <c:pt idx="53">
                  <c:v>6.9154800000000016E-2</c:v>
                </c:pt>
                <c:pt idx="54">
                  <c:v>7.2054840000000009E-2</c:v>
                </c:pt>
                <c:pt idx="55" formatCode="#\ ##0.0_ ;\-#\ ##0.0\ ">
                  <c:v>0.61213152000000026</c:v>
                </c:pt>
                <c:pt idx="56">
                  <c:v>4.2831360000000006E-2</c:v>
                </c:pt>
                <c:pt idx="57" formatCode="#\ ##0.0_ ;\-#\ ##0.0\ ">
                  <c:v>1.9392749999999999</c:v>
                </c:pt>
                <c:pt idx="58" formatCode="#\ ##0.0_ ;\-#\ ##0.0\ ">
                  <c:v>0.55364400000000014</c:v>
                </c:pt>
                <c:pt idx="59">
                  <c:v>6.6924000000000025E-2</c:v>
                </c:pt>
                <c:pt idx="60" formatCode="#\ ##0.0_ ;\-#\ ##0.0\ ">
                  <c:v>1.5209999999999999</c:v>
                </c:pt>
                <c:pt idx="61" formatCode="#\ ##0.0_ ;\-#\ ##0.0\ ">
                  <c:v>0.8416808400000001</c:v>
                </c:pt>
                <c:pt idx="62">
                  <c:v>4.1269800000000002E-2</c:v>
                </c:pt>
                <c:pt idx="63" formatCode="#\ ##0.0_ ;\-#\ ##0.0\ ">
                  <c:v>0.8911032000000001</c:v>
                </c:pt>
                <c:pt idx="64">
                  <c:v>5.3316120000000022E-2</c:v>
                </c:pt>
                <c:pt idx="65">
                  <c:v>5.5770000000000007E-2</c:v>
                </c:pt>
                <c:pt idx="66" formatCode="#\ ##0.0_ ;\-#\ ##0.0\ ">
                  <c:v>1.9008869880000003</c:v>
                </c:pt>
                <c:pt idx="67" formatCode="#\ ##0.0_ ;\-#\ ##0.0\ ">
                  <c:v>2.1031090080000006</c:v>
                </c:pt>
                <c:pt idx="68" formatCode="#\ ##0.0_ ;\-#\ ##0.0\ ">
                  <c:v>2.4795777006000002</c:v>
                </c:pt>
                <c:pt idx="69" formatCode="#\ ##0.0_ ;\-#\ ##0.0\ ">
                  <c:v>2.5281968712000005</c:v>
                </c:pt>
                <c:pt idx="70" formatCode="#\ ##0.0_ ;\-#\ ##0.0\ ">
                  <c:v>2.8685310654000005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3-4033-BFB1-6D707046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98468480"/>
        <c:axId val="857309680"/>
      </c:barChart>
      <c:catAx>
        <c:axId val="65705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sv-SE"/>
          </a:p>
        </c:txPr>
        <c:crossAx val="857317168"/>
        <c:crosses val="autoZero"/>
        <c:auto val="1"/>
        <c:lblAlgn val="ctr"/>
        <c:lblOffset val="100"/>
        <c:noMultiLvlLbl val="0"/>
      </c:catAx>
      <c:valAx>
        <c:axId val="857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kr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6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sv-SE"/>
          </a:p>
        </c:txPr>
        <c:crossAx val="657052656"/>
        <c:crosses val="autoZero"/>
        <c:crossBetween val="between"/>
      </c:valAx>
      <c:valAx>
        <c:axId val="85730968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sv-SE"/>
          </a:p>
        </c:txPr>
        <c:crossAx val="1198468480"/>
        <c:crosses val="max"/>
        <c:crossBetween val="between"/>
      </c:valAx>
      <c:catAx>
        <c:axId val="119846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7309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8164156972827"/>
          <c:y val="1.0205545075901686E-2"/>
          <c:w val="0.27918754113439748"/>
          <c:h val="0.15240094735185675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36335990242775E-2"/>
          <c:y val="0.16764610536535599"/>
          <c:w val="0.87229931468392452"/>
          <c:h val="0.417207898750876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'Tabell sorterbar'!$AF$6</c:f>
              <c:strCache>
                <c:ptCount val="1"/>
                <c:pt idx="0">
                  <c:v>total kostnad företaget per mil ex förmånsvärde ex moms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 sorterbar'!$D$7:$D$77</c:f>
              <c:strCache>
                <c:ptCount val="71"/>
                <c:pt idx="0">
                  <c:v>Renault Zoe 52 kWh hyr, förmånsv. 2800 kr/mån brutto</c:v>
                </c:pt>
                <c:pt idx="1">
                  <c:v>Renault Kangoo Maxi ZE (el) hyr, förmånsv. 3100 kr/mån brutto </c:v>
                </c:pt>
                <c:pt idx="2">
                  <c:v>Suzuki Swift 1.2 CNG Allgrip 4x4 (4WD), förmånsv. 2 700 kr/mån brutto </c:v>
                </c:pt>
                <c:pt idx="3">
                  <c:v>Renault Zoe 52 kWh köp, förmånsv. 2800 kr/mån brutto</c:v>
                </c:pt>
                <c:pt idx="4">
                  <c:v>Maxus e-Deliver 3, 4,8 kbm 35 kWh, förmånsv. 2700 kr/mån brutto </c:v>
                </c:pt>
                <c:pt idx="5">
                  <c:v>SEAT Ibiza TGI 90 Style man (biogas), förmånsv. 2500 kr/mån brutto</c:v>
                </c:pt>
                <c:pt idx="6">
                  <c:v>Mazda MX-30 35 kWh, förmånsv. 3200 kr/mån brutto</c:v>
                </c:pt>
                <c:pt idx="7">
                  <c:v>Renault Kangoo Maxi ZE (el) köp, förmånsv. 3100 kr/mån brutto </c:v>
                </c:pt>
                <c:pt idx="8">
                  <c:v>Nissan e-NV200, förmånsv. 2900 kr/mån brutto </c:v>
                </c:pt>
                <c:pt idx="9">
                  <c:v>Hyundai Kona 39 kWh, förmånsv. 2500 kr/mån brutto </c:v>
                </c:pt>
                <c:pt idx="10">
                  <c:v>Peugeot 208 1.5 HDi 100 HVO100, förmånsv. 3000 kr/mån brutto</c:v>
                </c:pt>
                <c:pt idx="11">
                  <c:v>Peugeot e-208, förmånsv. 2400 kr/mån brutto</c:v>
                </c:pt>
                <c:pt idx="12">
                  <c:v>Fiat Doblo L1 Nordic CNG biogas, förmånsv. 3000 kr/mån brutto</c:v>
                </c:pt>
                <c:pt idx="13">
                  <c:v>DFSK Seres 3 Electric 53 kWh, förmånsv. 3350 kr/mån brutto </c:v>
                </c:pt>
                <c:pt idx="14">
                  <c:v>Hyundai Ioniq 38 kWh, förmånsv. 3200 kr/mån brutto</c:v>
                </c:pt>
                <c:pt idx="15">
                  <c:v>Nissan Leaf 40 kWh, förmånsv. 2600 kr/mån brutto</c:v>
                </c:pt>
                <c:pt idx="16">
                  <c:v>Skoda Scala G-tec 90 Style man (biogas), förmånsv. 3000 kr/mån brutto</c:v>
                </c:pt>
                <c:pt idx="17">
                  <c:v>SEAT Leon ST 1.5 TGI 130 DSG7 Style biogas, förmånsv. 2900 kr/mån brutto</c:v>
                </c:pt>
                <c:pt idx="18">
                  <c:v>Citroen e-Jumpy L2 50 kWh, förmånsv. 3900 kr/mån brutto </c:v>
                </c:pt>
                <c:pt idx="19">
                  <c:v>Opel e-Vivaro L2 50 kWh, förmånsv. 3400 kr/mån brutto </c:v>
                </c:pt>
                <c:pt idx="20">
                  <c:v>Peugeot e-Expert L2 50 kWh, förmånsv. 3300 kr/mån brutto </c:v>
                </c:pt>
                <c:pt idx="21">
                  <c:v>Maxus e-Deliver 3, 6,3 kbm 52 kWh, förmånsv. 2700 kr/mån brutto </c:v>
                </c:pt>
                <c:pt idx="22">
                  <c:v>VW ABT e-Caddy Maxi, förmånsv. 6 249 kr/mån</c:v>
                </c:pt>
                <c:pt idx="23">
                  <c:v>Kia Ceed SW PHEV laddhybrid, förmånsv. 2950 kr/mån brutto</c:v>
                </c:pt>
                <c:pt idx="24">
                  <c:v>VW ID.3 Life 58 kWh, förmånsv. 3200 kr/mån brutto</c:v>
                </c:pt>
                <c:pt idx="25">
                  <c:v>VW Golf TGI 130 5d DSG biogas, förmånsv. 3150 kr/mån brutto</c:v>
                </c:pt>
                <c:pt idx="26">
                  <c:v>Nissan e-NV200 7-sits, förmånsv. 3000 kr/mån brutto</c:v>
                </c:pt>
                <c:pt idx="27">
                  <c:v>VW ID.4 City 52 kWh, förmånsv. 3500 kr/mån brutto</c:v>
                </c:pt>
                <c:pt idx="28">
                  <c:v>Skoda Octavia G-tec DSG 130 Ambition biogas, förmånsv. 3050 kr/mån brutto</c:v>
                </c:pt>
                <c:pt idx="29">
                  <c:v>Skoda Enyaq 60 kWh, förmånsv. 3850 kr/mån brutto</c:v>
                </c:pt>
                <c:pt idx="30">
                  <c:v>Suzuki Vitara 1.4T CNG AllGrip 4x4 (4WD), förmånsv. 3 055 kr/mån brutto </c:v>
                </c:pt>
                <c:pt idx="31">
                  <c:v>Suzuki S-Cross 1.4T CNG AllGrip 4x4 (4WD), förmånsv. 3100 kr/mån brutto </c:v>
                </c:pt>
                <c:pt idx="32">
                  <c:v>Renault Mégane PHEV laddhybrid, förmånsv. 3100 kr/mån brutto</c:v>
                </c:pt>
                <c:pt idx="33">
                  <c:v>Peugeot 308 SW 1.5 HDi 100 aut HVO100, förmånsv. 3500 kr/mån brutto</c:v>
                </c:pt>
                <c:pt idx="34">
                  <c:v>Renault Capture PHEV laddhybrid, förmånsv. 3000 kr/mån brutto</c:v>
                </c:pt>
                <c:pt idx="35">
                  <c:v>Renault Megane Sport Tourer 1.5 dCi 115 EDC (aut) HVO100, förmånsv. 3700 kr/mån brutto</c:v>
                </c:pt>
                <c:pt idx="36">
                  <c:v>Hyundai Ioniq 5 Essential 58 kWh RWD, förmånsv. ca 4000 kr/mån brutto </c:v>
                </c:pt>
                <c:pt idx="37">
                  <c:v>Nissan Qashqai 1.5 dCi 115 2WD aut HVO100, förmånsv. 3800 kr/mån brutto</c:v>
                </c:pt>
                <c:pt idx="38">
                  <c:v>Kia e-Niro 64 kWh, förmånsvärde 2900 kr/mån brutto </c:v>
                </c:pt>
                <c:pt idx="39">
                  <c:v>Citroën e-Berlingo L2 75kWh. förmånsv. 4200 kr/mån brutto </c:v>
                </c:pt>
                <c:pt idx="40">
                  <c:v>Citroen Jumpy L2 120 BlueHDi aut HVO100, förmånsv. 5500 kr/mån brutto </c:v>
                </c:pt>
                <c:pt idx="41">
                  <c:v>Peugeot 3008 PHEV laddhybrid, förmånsv. 3400 kr/mån brutto</c:v>
                </c:pt>
                <c:pt idx="42">
                  <c:v>Maxus Euniq MPV 7-sits (el), förmånsv. 3300 kr/mån brutto </c:v>
                </c:pt>
                <c:pt idx="43">
                  <c:v>Skoda Octavia combi iV PHEV laddhybrid, förmånsv. 3400 kr/mån brutto</c:v>
                </c:pt>
                <c:pt idx="44">
                  <c:v>Tesla 3 Standard Range Plus 2WD, förmånsvärde 3600 kr/mån brutto</c:v>
                </c:pt>
                <c:pt idx="45">
                  <c:v>DFSK Fengon 580 Biogashybrid, förmånsv. 3800 kr/mån brutto</c:v>
                </c:pt>
                <c:pt idx="46">
                  <c:v>Maxus EV80 chassi 56 kWh</c:v>
                </c:pt>
                <c:pt idx="47">
                  <c:v>DFSK Fengon 5 Biogashybrid, förmånsv. 3800 kr/mån brutto</c:v>
                </c:pt>
                <c:pt idx="48">
                  <c:v>VW Passat GTE kombi laddhybrid, förmånsv. 3400 kr/mån brutto</c:v>
                </c:pt>
                <c:pt idx="49">
                  <c:v>VW Tiguan elegance e-hybrid, laddhyb, förmånsv. 3600 kr/mån brutto</c:v>
                </c:pt>
                <c:pt idx="50">
                  <c:v>VW ABT e-Transporter, förmånsv. 4300 kr/mån brutto </c:v>
                </c:pt>
                <c:pt idx="51">
                  <c:v>Iveco Daily 3.0 Natural Power (biogas), förmånsv. 6400 kr/mån brutto</c:v>
                </c:pt>
                <c:pt idx="52">
                  <c:v>Hyundai Ioniq 5 1st Edition 72 kWh RWD, förmånsv. ca 4000 kr/mån brutto </c:v>
                </c:pt>
                <c:pt idx="53">
                  <c:v>Maxus EV80 H3 11,5 kbm 56 kWh, förmånsv. 9 526 kr/mån</c:v>
                </c:pt>
                <c:pt idx="54">
                  <c:v>Renault Master ZE (el) L2H2, förmånsv. 4300 kr/mån brutto </c:v>
                </c:pt>
                <c:pt idx="55">
                  <c:v>Volvo V60 B4 HVO100, förmånsv. 4400 kr/mån brutto </c:v>
                </c:pt>
                <c:pt idx="56">
                  <c:v>Polestar 2 LR AWD (el), förmånsv. 4300 kr/mån brutto</c:v>
                </c:pt>
                <c:pt idx="57">
                  <c:v>Ford Transit Custom Trend PHEV laddhybrid, förmånsv. 3700 kr/mån brutto</c:v>
                </c:pt>
                <c:pt idx="58">
                  <c:v>Audi A4 40 g-tron Proline S tronic, förmånsv. 3692 kr/mån</c:v>
                </c:pt>
                <c:pt idx="59">
                  <c:v>VW e-Crafter, förmånsv. 3900 kr/mån brutto </c:v>
                </c:pt>
                <c:pt idx="60">
                  <c:v>Volvo V60 T6 AWD laddhybrid, förmånsv. 4200 kr/mån brutto</c:v>
                </c:pt>
                <c:pt idx="61">
                  <c:v>Iveco Daily 3,5 ton skåp HVO100, förmånsv. 7707 kr/mån</c:v>
                </c:pt>
                <c:pt idx="62">
                  <c:v>VW ID.4 Max 80kWh, förmånsv.  3800 kr/mån brutto</c:v>
                </c:pt>
                <c:pt idx="63">
                  <c:v>SEAT Tarraco CNG biogas, förmånsv. 4400 kr/mån brutto</c:v>
                </c:pt>
                <c:pt idx="64">
                  <c:v>Volvo XC40 Recharge P8 AWD (el), förmånsv. 4000 kr/mån brutto</c:v>
                </c:pt>
                <c:pt idx="65">
                  <c:v>Tesla S Long Range AWD, förmånsvärde 5600 kr/mån brutto</c:v>
                </c:pt>
                <c:pt idx="66">
                  <c:v>Audi A4 40 TDI Proline S tronic, förmånsv. 4716 kr/mån</c:v>
                </c:pt>
                <c:pt idx="67">
                  <c:v>jämförelsebil VW Caddy Cargo 122 TDI (diesel) DSG, förmånsv. 4000 kr/mån brutto </c:v>
                </c:pt>
                <c:pt idx="68">
                  <c:v>jämförelsebil Seat Ibiza TSI 95 Style man, förmånsv. 2772 kr/mån</c:v>
                </c:pt>
                <c:pt idx="69">
                  <c:v>jämförelsebil VW Golf 1.0 eTSI 110 DSG bensin, förmånsv. 3300 kr/mån brutto </c:v>
                </c:pt>
                <c:pt idx="70">
                  <c:v>jmf-bil Audi A4 40 TFSI quattro Proline S tronic, förmånsv. 4823 kr/mån</c:v>
                </c:pt>
              </c:strCache>
            </c:strRef>
          </c:cat>
          <c:val>
            <c:numRef>
              <c:f>'Tabell sorterbar'!$AF$7:$AF$77</c:f>
              <c:numCache>
                <c:formatCode>_-* #\ ##0\ "kr"_-;\-* #\ ##0\ "kr"_-;_-* "-"??\ "kr"_-;_-@_-</c:formatCode>
                <c:ptCount val="71"/>
                <c:pt idx="0">
                  <c:v>22.72293333333333</c:v>
                </c:pt>
                <c:pt idx="1">
                  <c:v>26.749333333333333</c:v>
                </c:pt>
                <c:pt idx="2">
                  <c:v>31.866666666666667</c:v>
                </c:pt>
                <c:pt idx="3">
                  <c:v>32.72293333333333</c:v>
                </c:pt>
                <c:pt idx="4">
                  <c:v>33.006666666666668</c:v>
                </c:pt>
                <c:pt idx="5">
                  <c:v>33.365333333333332</c:v>
                </c:pt>
                <c:pt idx="6">
                  <c:v>34.88133333333333</c:v>
                </c:pt>
                <c:pt idx="7">
                  <c:v>35.415999999999997</c:v>
                </c:pt>
                <c:pt idx="8">
                  <c:v>35.792133333333332</c:v>
                </c:pt>
                <c:pt idx="9">
                  <c:v>36.353333333333332</c:v>
                </c:pt>
                <c:pt idx="10">
                  <c:v>38.458560000000006</c:v>
                </c:pt>
                <c:pt idx="11">
                  <c:v>38.538133333333334</c:v>
                </c:pt>
                <c:pt idx="12">
                  <c:v>38.538666666666671</c:v>
                </c:pt>
                <c:pt idx="13">
                  <c:v>38.749333333333333</c:v>
                </c:pt>
                <c:pt idx="14">
                  <c:v>39.528266666666674</c:v>
                </c:pt>
                <c:pt idx="15">
                  <c:v>41.019999999999996</c:v>
                </c:pt>
                <c:pt idx="16">
                  <c:v>41.082666666666668</c:v>
                </c:pt>
                <c:pt idx="17">
                  <c:v>42.480000000000004</c:v>
                </c:pt>
                <c:pt idx="18">
                  <c:v>42.485199999999999</c:v>
                </c:pt>
                <c:pt idx="19">
                  <c:v>43.15186666666667</c:v>
                </c:pt>
                <c:pt idx="20">
                  <c:v>43.15186666666667</c:v>
                </c:pt>
                <c:pt idx="21">
                  <c:v>43.336666666666673</c:v>
                </c:pt>
                <c:pt idx="22">
                  <c:v>45.402666666666669</c:v>
                </c:pt>
                <c:pt idx="23">
                  <c:v>45.790000000000006</c:v>
                </c:pt>
                <c:pt idx="24">
                  <c:v>45.765866666666668</c:v>
                </c:pt>
                <c:pt idx="25">
                  <c:v>46.544000000000004</c:v>
                </c:pt>
                <c:pt idx="26">
                  <c:v>47.125466666666668</c:v>
                </c:pt>
                <c:pt idx="27">
                  <c:v>47.35</c:v>
                </c:pt>
                <c:pt idx="28">
                  <c:v>47.353333333333332</c:v>
                </c:pt>
                <c:pt idx="29">
                  <c:v>47.779066666666672</c:v>
                </c:pt>
                <c:pt idx="30">
                  <c:v>47.87733333333334</c:v>
                </c:pt>
                <c:pt idx="31">
                  <c:v>47.948666666666668</c:v>
                </c:pt>
                <c:pt idx="32">
                  <c:v>48.456666666666671</c:v>
                </c:pt>
                <c:pt idx="33">
                  <c:v>49.064080000000004</c:v>
                </c:pt>
                <c:pt idx="34">
                  <c:v>48.905833333333341</c:v>
                </c:pt>
                <c:pt idx="35">
                  <c:v>50.39741333333334</c:v>
                </c:pt>
                <c:pt idx="36">
                  <c:v>50.590933333333332</c:v>
                </c:pt>
                <c:pt idx="37">
                  <c:v>52.260133333333336</c:v>
                </c:pt>
                <c:pt idx="38">
                  <c:v>51.739466666666672</c:v>
                </c:pt>
                <c:pt idx="39">
                  <c:v>52.260799999999996</c:v>
                </c:pt>
                <c:pt idx="40">
                  <c:v>54.980586666666674</c:v>
                </c:pt>
                <c:pt idx="41">
                  <c:v>55.109166666666667</c:v>
                </c:pt>
                <c:pt idx="42">
                  <c:v>55.145333333333333</c:v>
                </c:pt>
                <c:pt idx="43">
                  <c:v>55.340833333333343</c:v>
                </c:pt>
                <c:pt idx="44">
                  <c:v>57.68</c:v>
                </c:pt>
                <c:pt idx="45">
                  <c:v>58.901333333333341</c:v>
                </c:pt>
                <c:pt idx="46">
                  <c:v>60.333333333333336</c:v>
                </c:pt>
                <c:pt idx="47">
                  <c:v>60.474666666666664</c:v>
                </c:pt>
                <c:pt idx="48">
                  <c:v>62.891666666666673</c:v>
                </c:pt>
                <c:pt idx="49">
                  <c:v>62.921000000000006</c:v>
                </c:pt>
                <c:pt idx="50">
                  <c:v>63.264000000000003</c:v>
                </c:pt>
                <c:pt idx="51">
                  <c:v>64.462000000000003</c:v>
                </c:pt>
                <c:pt idx="52">
                  <c:v>64.577733333333342</c:v>
                </c:pt>
                <c:pt idx="53">
                  <c:v>65.132000000000005</c:v>
                </c:pt>
                <c:pt idx="54">
                  <c:v>65.970266666666674</c:v>
                </c:pt>
                <c:pt idx="55">
                  <c:v>66.96741333333334</c:v>
                </c:pt>
                <c:pt idx="56">
                  <c:v>66.241066666666683</c:v>
                </c:pt>
                <c:pt idx="57">
                  <c:v>67.366666666666674</c:v>
                </c:pt>
                <c:pt idx="58">
                  <c:v>67.493333333333339</c:v>
                </c:pt>
                <c:pt idx="59">
                  <c:v>68.333333333333343</c:v>
                </c:pt>
                <c:pt idx="60">
                  <c:v>68.834000000000003</c:v>
                </c:pt>
                <c:pt idx="61">
                  <c:v>70.653200000000012</c:v>
                </c:pt>
                <c:pt idx="62">
                  <c:v>70.815333333333328</c:v>
                </c:pt>
                <c:pt idx="63">
                  <c:v>71.347999999999999</c:v>
                </c:pt>
                <c:pt idx="64">
                  <c:v>81.528133333333329</c:v>
                </c:pt>
                <c:pt idx="65">
                  <c:v>99.006666666666661</c:v>
                </c:pt>
                <c:pt idx="66">
                  <c:v>70.973973333333333</c:v>
                </c:pt>
                <c:pt idx="67">
                  <c:v>43.61493333333334</c:v>
                </c:pt>
                <c:pt idx="68">
                  <c:v>34.842533333333336</c:v>
                </c:pt>
                <c:pt idx="69">
                  <c:v>47.654400000000003</c:v>
                </c:pt>
                <c:pt idx="70">
                  <c:v>74.54546666666667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9-46C0-AD6E-E03223073045}"/>
            </c:ext>
          </c:extLst>
        </c:ser>
        <c:ser>
          <c:idx val="0"/>
          <c:order val="2"/>
          <c:tx>
            <c:strRef>
              <c:f>'Tabell sorterbar'!$AG$6</c:f>
              <c:strCache>
                <c:ptCount val="1"/>
                <c:pt idx="0">
                  <c:v>förmånsvärde kostnad företaget per mil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 sorterbar'!$D$7:$D$77</c:f>
              <c:strCache>
                <c:ptCount val="71"/>
                <c:pt idx="0">
                  <c:v>Renault Zoe 52 kWh hyr, förmånsv. 2800 kr/mån brutto</c:v>
                </c:pt>
                <c:pt idx="1">
                  <c:v>Renault Kangoo Maxi ZE (el) hyr, förmånsv. 3100 kr/mån brutto </c:v>
                </c:pt>
                <c:pt idx="2">
                  <c:v>Suzuki Swift 1.2 CNG Allgrip 4x4 (4WD), förmånsv. 2 700 kr/mån brutto </c:v>
                </c:pt>
                <c:pt idx="3">
                  <c:v>Renault Zoe 52 kWh köp, förmånsv. 2800 kr/mån brutto</c:v>
                </c:pt>
                <c:pt idx="4">
                  <c:v>Maxus e-Deliver 3, 4,8 kbm 35 kWh, förmånsv. 2700 kr/mån brutto </c:v>
                </c:pt>
                <c:pt idx="5">
                  <c:v>SEAT Ibiza TGI 90 Style man (biogas), förmånsv. 2500 kr/mån brutto</c:v>
                </c:pt>
                <c:pt idx="6">
                  <c:v>Mazda MX-30 35 kWh, förmånsv. 3200 kr/mån brutto</c:v>
                </c:pt>
                <c:pt idx="7">
                  <c:v>Renault Kangoo Maxi ZE (el) köp, förmånsv. 3100 kr/mån brutto </c:v>
                </c:pt>
                <c:pt idx="8">
                  <c:v>Nissan e-NV200, förmånsv. 2900 kr/mån brutto </c:v>
                </c:pt>
                <c:pt idx="9">
                  <c:v>Hyundai Kona 39 kWh, förmånsv. 2500 kr/mån brutto </c:v>
                </c:pt>
                <c:pt idx="10">
                  <c:v>Peugeot 208 1.5 HDi 100 HVO100, förmånsv. 3000 kr/mån brutto</c:v>
                </c:pt>
                <c:pt idx="11">
                  <c:v>Peugeot e-208, förmånsv. 2400 kr/mån brutto</c:v>
                </c:pt>
                <c:pt idx="12">
                  <c:v>Fiat Doblo L1 Nordic CNG biogas, förmånsv. 3000 kr/mån brutto</c:v>
                </c:pt>
                <c:pt idx="13">
                  <c:v>DFSK Seres 3 Electric 53 kWh, förmånsv. 3350 kr/mån brutto </c:v>
                </c:pt>
                <c:pt idx="14">
                  <c:v>Hyundai Ioniq 38 kWh, förmånsv. 3200 kr/mån brutto</c:v>
                </c:pt>
                <c:pt idx="15">
                  <c:v>Nissan Leaf 40 kWh, förmånsv. 2600 kr/mån brutto</c:v>
                </c:pt>
                <c:pt idx="16">
                  <c:v>Skoda Scala G-tec 90 Style man (biogas), förmånsv. 3000 kr/mån brutto</c:v>
                </c:pt>
                <c:pt idx="17">
                  <c:v>SEAT Leon ST 1.5 TGI 130 DSG7 Style biogas, förmånsv. 2900 kr/mån brutto</c:v>
                </c:pt>
                <c:pt idx="18">
                  <c:v>Citroen e-Jumpy L2 50 kWh, förmånsv. 3900 kr/mån brutto </c:v>
                </c:pt>
                <c:pt idx="19">
                  <c:v>Opel e-Vivaro L2 50 kWh, förmånsv. 3400 kr/mån brutto </c:v>
                </c:pt>
                <c:pt idx="20">
                  <c:v>Peugeot e-Expert L2 50 kWh, förmånsv. 3300 kr/mån brutto </c:v>
                </c:pt>
                <c:pt idx="21">
                  <c:v>Maxus e-Deliver 3, 6,3 kbm 52 kWh, förmånsv. 2700 kr/mån brutto </c:v>
                </c:pt>
                <c:pt idx="22">
                  <c:v>VW ABT e-Caddy Maxi, förmånsv. 6 249 kr/mån</c:v>
                </c:pt>
                <c:pt idx="23">
                  <c:v>Kia Ceed SW PHEV laddhybrid, förmånsv. 2950 kr/mån brutto</c:v>
                </c:pt>
                <c:pt idx="24">
                  <c:v>VW ID.3 Life 58 kWh, förmånsv. 3200 kr/mån brutto</c:v>
                </c:pt>
                <c:pt idx="25">
                  <c:v>VW Golf TGI 130 5d DSG biogas, förmånsv. 3150 kr/mån brutto</c:v>
                </c:pt>
                <c:pt idx="26">
                  <c:v>Nissan e-NV200 7-sits, förmånsv. 3000 kr/mån brutto</c:v>
                </c:pt>
                <c:pt idx="27">
                  <c:v>VW ID.4 City 52 kWh, förmånsv. 3500 kr/mån brutto</c:v>
                </c:pt>
                <c:pt idx="28">
                  <c:v>Skoda Octavia G-tec DSG 130 Ambition biogas, förmånsv. 3050 kr/mån brutto</c:v>
                </c:pt>
                <c:pt idx="29">
                  <c:v>Skoda Enyaq 60 kWh, förmånsv. 3850 kr/mån brutto</c:v>
                </c:pt>
                <c:pt idx="30">
                  <c:v>Suzuki Vitara 1.4T CNG AllGrip 4x4 (4WD), förmånsv. 3 055 kr/mån brutto </c:v>
                </c:pt>
                <c:pt idx="31">
                  <c:v>Suzuki S-Cross 1.4T CNG AllGrip 4x4 (4WD), förmånsv. 3100 kr/mån brutto </c:v>
                </c:pt>
                <c:pt idx="32">
                  <c:v>Renault Mégane PHEV laddhybrid, förmånsv. 3100 kr/mån brutto</c:v>
                </c:pt>
                <c:pt idx="33">
                  <c:v>Peugeot 308 SW 1.5 HDi 100 aut HVO100, förmånsv. 3500 kr/mån brutto</c:v>
                </c:pt>
                <c:pt idx="34">
                  <c:v>Renault Capture PHEV laddhybrid, förmånsv. 3000 kr/mån brutto</c:v>
                </c:pt>
                <c:pt idx="35">
                  <c:v>Renault Megane Sport Tourer 1.5 dCi 115 EDC (aut) HVO100, förmånsv. 3700 kr/mån brutto</c:v>
                </c:pt>
                <c:pt idx="36">
                  <c:v>Hyundai Ioniq 5 Essential 58 kWh RWD, förmånsv. ca 4000 kr/mån brutto </c:v>
                </c:pt>
                <c:pt idx="37">
                  <c:v>Nissan Qashqai 1.5 dCi 115 2WD aut HVO100, förmånsv. 3800 kr/mån brutto</c:v>
                </c:pt>
                <c:pt idx="38">
                  <c:v>Kia e-Niro 64 kWh, förmånsvärde 2900 kr/mån brutto </c:v>
                </c:pt>
                <c:pt idx="39">
                  <c:v>Citroën e-Berlingo L2 75kWh. förmånsv. 4200 kr/mån brutto </c:v>
                </c:pt>
                <c:pt idx="40">
                  <c:v>Citroen Jumpy L2 120 BlueHDi aut HVO100, förmånsv. 5500 kr/mån brutto </c:v>
                </c:pt>
                <c:pt idx="41">
                  <c:v>Peugeot 3008 PHEV laddhybrid, förmånsv. 3400 kr/mån brutto</c:v>
                </c:pt>
                <c:pt idx="42">
                  <c:v>Maxus Euniq MPV 7-sits (el), förmånsv. 3300 kr/mån brutto </c:v>
                </c:pt>
                <c:pt idx="43">
                  <c:v>Skoda Octavia combi iV PHEV laddhybrid, förmånsv. 3400 kr/mån brutto</c:v>
                </c:pt>
                <c:pt idx="44">
                  <c:v>Tesla 3 Standard Range Plus 2WD, förmånsvärde 3600 kr/mån brutto</c:v>
                </c:pt>
                <c:pt idx="45">
                  <c:v>DFSK Fengon 580 Biogashybrid, förmånsv. 3800 kr/mån brutto</c:v>
                </c:pt>
                <c:pt idx="46">
                  <c:v>Maxus EV80 chassi 56 kWh</c:v>
                </c:pt>
                <c:pt idx="47">
                  <c:v>DFSK Fengon 5 Biogashybrid, förmånsv. 3800 kr/mån brutto</c:v>
                </c:pt>
                <c:pt idx="48">
                  <c:v>VW Passat GTE kombi laddhybrid, förmånsv. 3400 kr/mån brutto</c:v>
                </c:pt>
                <c:pt idx="49">
                  <c:v>VW Tiguan elegance e-hybrid, laddhyb, förmånsv. 3600 kr/mån brutto</c:v>
                </c:pt>
                <c:pt idx="50">
                  <c:v>VW ABT e-Transporter, förmånsv. 4300 kr/mån brutto </c:v>
                </c:pt>
                <c:pt idx="51">
                  <c:v>Iveco Daily 3.0 Natural Power (biogas), förmånsv. 6400 kr/mån brutto</c:v>
                </c:pt>
                <c:pt idx="52">
                  <c:v>Hyundai Ioniq 5 1st Edition 72 kWh RWD, förmånsv. ca 4000 kr/mån brutto </c:v>
                </c:pt>
                <c:pt idx="53">
                  <c:v>Maxus EV80 H3 11,5 kbm 56 kWh, förmånsv. 9 526 kr/mån</c:v>
                </c:pt>
                <c:pt idx="54">
                  <c:v>Renault Master ZE (el) L2H2, förmånsv. 4300 kr/mån brutto </c:v>
                </c:pt>
                <c:pt idx="55">
                  <c:v>Volvo V60 B4 HVO100, förmånsv. 4400 kr/mån brutto </c:v>
                </c:pt>
                <c:pt idx="56">
                  <c:v>Polestar 2 LR AWD (el), förmånsv. 4300 kr/mån brutto</c:v>
                </c:pt>
                <c:pt idx="57">
                  <c:v>Ford Transit Custom Trend PHEV laddhybrid, förmånsv. 3700 kr/mån brutto</c:v>
                </c:pt>
                <c:pt idx="58">
                  <c:v>Audi A4 40 g-tron Proline S tronic, förmånsv. 3692 kr/mån</c:v>
                </c:pt>
                <c:pt idx="59">
                  <c:v>VW e-Crafter, förmånsv. 3900 kr/mån brutto </c:v>
                </c:pt>
                <c:pt idx="60">
                  <c:v>Volvo V60 T6 AWD laddhybrid, förmånsv. 4200 kr/mån brutto</c:v>
                </c:pt>
                <c:pt idx="61">
                  <c:v>Iveco Daily 3,5 ton skåp HVO100, förmånsv. 7707 kr/mån</c:v>
                </c:pt>
                <c:pt idx="62">
                  <c:v>VW ID.4 Max 80kWh, förmånsv.  3800 kr/mån brutto</c:v>
                </c:pt>
                <c:pt idx="63">
                  <c:v>SEAT Tarraco CNG biogas, förmånsv. 4400 kr/mån brutto</c:v>
                </c:pt>
                <c:pt idx="64">
                  <c:v>Volvo XC40 Recharge P8 AWD (el), förmånsv. 4000 kr/mån brutto</c:v>
                </c:pt>
                <c:pt idx="65">
                  <c:v>Tesla S Long Range AWD, förmånsvärde 5600 kr/mån brutto</c:v>
                </c:pt>
                <c:pt idx="66">
                  <c:v>Audi A4 40 TDI Proline S tronic, förmånsv. 4716 kr/mån</c:v>
                </c:pt>
                <c:pt idx="67">
                  <c:v>jämförelsebil VW Caddy Cargo 122 TDI (diesel) DSG, förmånsv. 4000 kr/mån brutto </c:v>
                </c:pt>
                <c:pt idx="68">
                  <c:v>jämförelsebil Seat Ibiza TSI 95 Style man, förmånsv. 2772 kr/mån</c:v>
                </c:pt>
                <c:pt idx="69">
                  <c:v>jämförelsebil VW Golf 1.0 eTSI 110 DSG bensin, förmånsv. 3300 kr/mån brutto </c:v>
                </c:pt>
                <c:pt idx="70">
                  <c:v>jmf-bil Audi A4 40 TFSI quattro Proline S tronic, förmånsv. 4823 kr/mån</c:v>
                </c:pt>
              </c:strCache>
            </c:strRef>
          </c:cat>
          <c:val>
            <c:numRef>
              <c:f>'Tabell sorterbar'!$AG$7:$AG$77</c:f>
              <c:numCache>
                <c:formatCode>_("kr"* #,##0.00_);_("kr"* \(#,##0.00\);_("kr"* "-"??_);_(@_)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19-46C0-AD6E-E032230730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100"/>
        <c:axId val="657052656"/>
        <c:axId val="857317168"/>
      </c:barChart>
      <c:barChart>
        <c:barDir val="col"/>
        <c:grouping val="clustered"/>
        <c:varyColors val="0"/>
        <c:ser>
          <c:idx val="1"/>
          <c:order val="0"/>
          <c:tx>
            <c:strRef>
              <c:f>'Tabell sorterbar'!$AD$6</c:f>
              <c:strCache>
                <c:ptCount val="1"/>
                <c:pt idx="0">
                  <c:v>Utsläpp per år (ton CO2) (hö skala)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 sorterbar'!$D$7:$D$77</c:f>
              <c:strCache>
                <c:ptCount val="71"/>
                <c:pt idx="0">
                  <c:v>Renault Zoe 52 kWh hyr, förmånsv. 2800 kr/mån brutto</c:v>
                </c:pt>
                <c:pt idx="1">
                  <c:v>Renault Kangoo Maxi ZE (el) hyr, förmånsv. 3100 kr/mån brutto </c:v>
                </c:pt>
                <c:pt idx="2">
                  <c:v>Suzuki Swift 1.2 CNG Allgrip 4x4 (4WD), förmånsv. 2 700 kr/mån brutto </c:v>
                </c:pt>
                <c:pt idx="3">
                  <c:v>Renault Zoe 52 kWh köp, förmånsv. 2800 kr/mån brutto</c:v>
                </c:pt>
                <c:pt idx="4">
                  <c:v>Maxus e-Deliver 3, 4,8 kbm 35 kWh, förmånsv. 2700 kr/mån brutto </c:v>
                </c:pt>
                <c:pt idx="5">
                  <c:v>SEAT Ibiza TGI 90 Style man (biogas), förmånsv. 2500 kr/mån brutto</c:v>
                </c:pt>
                <c:pt idx="6">
                  <c:v>Mazda MX-30 35 kWh, förmånsv. 3200 kr/mån brutto</c:v>
                </c:pt>
                <c:pt idx="7">
                  <c:v>Renault Kangoo Maxi ZE (el) köp, förmånsv. 3100 kr/mån brutto </c:v>
                </c:pt>
                <c:pt idx="8">
                  <c:v>Nissan e-NV200, förmånsv. 2900 kr/mån brutto </c:v>
                </c:pt>
                <c:pt idx="9">
                  <c:v>Hyundai Kona 39 kWh, förmånsv. 2500 kr/mån brutto </c:v>
                </c:pt>
                <c:pt idx="10">
                  <c:v>Peugeot 208 1.5 HDi 100 HVO100, förmånsv. 3000 kr/mån brutto</c:v>
                </c:pt>
                <c:pt idx="11">
                  <c:v>Peugeot e-208, förmånsv. 2400 kr/mån brutto</c:v>
                </c:pt>
                <c:pt idx="12">
                  <c:v>Fiat Doblo L1 Nordic CNG biogas, förmånsv. 3000 kr/mån brutto</c:v>
                </c:pt>
                <c:pt idx="13">
                  <c:v>DFSK Seres 3 Electric 53 kWh, förmånsv. 3350 kr/mån brutto </c:v>
                </c:pt>
                <c:pt idx="14">
                  <c:v>Hyundai Ioniq 38 kWh, förmånsv. 3200 kr/mån brutto</c:v>
                </c:pt>
                <c:pt idx="15">
                  <c:v>Nissan Leaf 40 kWh, förmånsv. 2600 kr/mån brutto</c:v>
                </c:pt>
                <c:pt idx="16">
                  <c:v>Skoda Scala G-tec 90 Style man (biogas), förmånsv. 3000 kr/mån brutto</c:v>
                </c:pt>
                <c:pt idx="17">
                  <c:v>SEAT Leon ST 1.5 TGI 130 DSG7 Style biogas, förmånsv. 2900 kr/mån brutto</c:v>
                </c:pt>
                <c:pt idx="18">
                  <c:v>Citroen e-Jumpy L2 50 kWh, förmånsv. 3900 kr/mån brutto </c:v>
                </c:pt>
                <c:pt idx="19">
                  <c:v>Opel e-Vivaro L2 50 kWh, förmånsv. 3400 kr/mån brutto </c:v>
                </c:pt>
                <c:pt idx="20">
                  <c:v>Peugeot e-Expert L2 50 kWh, förmånsv. 3300 kr/mån brutto </c:v>
                </c:pt>
                <c:pt idx="21">
                  <c:v>Maxus e-Deliver 3, 6,3 kbm 52 kWh, förmånsv. 2700 kr/mån brutto </c:v>
                </c:pt>
                <c:pt idx="22">
                  <c:v>VW ABT e-Caddy Maxi, förmånsv. 6 249 kr/mån</c:v>
                </c:pt>
                <c:pt idx="23">
                  <c:v>Kia Ceed SW PHEV laddhybrid, förmånsv. 2950 kr/mån brutto</c:v>
                </c:pt>
                <c:pt idx="24">
                  <c:v>VW ID.3 Life 58 kWh, förmånsv. 3200 kr/mån brutto</c:v>
                </c:pt>
                <c:pt idx="25">
                  <c:v>VW Golf TGI 130 5d DSG biogas, förmånsv. 3150 kr/mån brutto</c:v>
                </c:pt>
                <c:pt idx="26">
                  <c:v>Nissan e-NV200 7-sits, förmånsv. 3000 kr/mån brutto</c:v>
                </c:pt>
                <c:pt idx="27">
                  <c:v>VW ID.4 City 52 kWh, förmånsv. 3500 kr/mån brutto</c:v>
                </c:pt>
                <c:pt idx="28">
                  <c:v>Skoda Octavia G-tec DSG 130 Ambition biogas, förmånsv. 3050 kr/mån brutto</c:v>
                </c:pt>
                <c:pt idx="29">
                  <c:v>Skoda Enyaq 60 kWh, förmånsv. 3850 kr/mån brutto</c:v>
                </c:pt>
                <c:pt idx="30">
                  <c:v>Suzuki Vitara 1.4T CNG AllGrip 4x4 (4WD), förmånsv. 3 055 kr/mån brutto </c:v>
                </c:pt>
                <c:pt idx="31">
                  <c:v>Suzuki S-Cross 1.4T CNG AllGrip 4x4 (4WD), förmånsv. 3100 kr/mån brutto </c:v>
                </c:pt>
                <c:pt idx="32">
                  <c:v>Renault Mégane PHEV laddhybrid, förmånsv. 3100 kr/mån brutto</c:v>
                </c:pt>
                <c:pt idx="33">
                  <c:v>Peugeot 308 SW 1.5 HDi 100 aut HVO100, förmånsv. 3500 kr/mån brutto</c:v>
                </c:pt>
                <c:pt idx="34">
                  <c:v>Renault Capture PHEV laddhybrid, förmånsv. 3000 kr/mån brutto</c:v>
                </c:pt>
                <c:pt idx="35">
                  <c:v>Renault Megane Sport Tourer 1.5 dCi 115 EDC (aut) HVO100, förmånsv. 3700 kr/mån brutto</c:v>
                </c:pt>
                <c:pt idx="36">
                  <c:v>Hyundai Ioniq 5 Essential 58 kWh RWD, förmånsv. ca 4000 kr/mån brutto </c:v>
                </c:pt>
                <c:pt idx="37">
                  <c:v>Nissan Qashqai 1.5 dCi 115 2WD aut HVO100, förmånsv. 3800 kr/mån brutto</c:v>
                </c:pt>
                <c:pt idx="38">
                  <c:v>Kia e-Niro 64 kWh, förmånsvärde 2900 kr/mån brutto </c:v>
                </c:pt>
                <c:pt idx="39">
                  <c:v>Citroën e-Berlingo L2 75kWh. förmånsv. 4200 kr/mån brutto </c:v>
                </c:pt>
                <c:pt idx="40">
                  <c:v>Citroen Jumpy L2 120 BlueHDi aut HVO100, förmånsv. 5500 kr/mån brutto </c:v>
                </c:pt>
                <c:pt idx="41">
                  <c:v>Peugeot 3008 PHEV laddhybrid, förmånsv. 3400 kr/mån brutto</c:v>
                </c:pt>
                <c:pt idx="42">
                  <c:v>Maxus Euniq MPV 7-sits (el), förmånsv. 3300 kr/mån brutto </c:v>
                </c:pt>
                <c:pt idx="43">
                  <c:v>Skoda Octavia combi iV PHEV laddhybrid, förmånsv. 3400 kr/mån brutto</c:v>
                </c:pt>
                <c:pt idx="44">
                  <c:v>Tesla 3 Standard Range Plus 2WD, förmånsvärde 3600 kr/mån brutto</c:v>
                </c:pt>
                <c:pt idx="45">
                  <c:v>DFSK Fengon 580 Biogashybrid, förmånsv. 3800 kr/mån brutto</c:v>
                </c:pt>
                <c:pt idx="46">
                  <c:v>Maxus EV80 chassi 56 kWh</c:v>
                </c:pt>
                <c:pt idx="47">
                  <c:v>DFSK Fengon 5 Biogashybrid, förmånsv. 3800 kr/mån brutto</c:v>
                </c:pt>
                <c:pt idx="48">
                  <c:v>VW Passat GTE kombi laddhybrid, förmånsv. 3400 kr/mån brutto</c:v>
                </c:pt>
                <c:pt idx="49">
                  <c:v>VW Tiguan elegance e-hybrid, laddhyb, förmånsv. 3600 kr/mån brutto</c:v>
                </c:pt>
                <c:pt idx="50">
                  <c:v>VW ABT e-Transporter, förmånsv. 4300 kr/mån brutto </c:v>
                </c:pt>
                <c:pt idx="51">
                  <c:v>Iveco Daily 3.0 Natural Power (biogas), förmånsv. 6400 kr/mån brutto</c:v>
                </c:pt>
                <c:pt idx="52">
                  <c:v>Hyundai Ioniq 5 1st Edition 72 kWh RWD, förmånsv. ca 4000 kr/mån brutto </c:v>
                </c:pt>
                <c:pt idx="53">
                  <c:v>Maxus EV80 H3 11,5 kbm 56 kWh, förmånsv. 9 526 kr/mån</c:v>
                </c:pt>
                <c:pt idx="54">
                  <c:v>Renault Master ZE (el) L2H2, förmånsv. 4300 kr/mån brutto </c:v>
                </c:pt>
                <c:pt idx="55">
                  <c:v>Volvo V60 B4 HVO100, förmånsv. 4400 kr/mån brutto </c:v>
                </c:pt>
                <c:pt idx="56">
                  <c:v>Polestar 2 LR AWD (el), förmånsv. 4300 kr/mån brutto</c:v>
                </c:pt>
                <c:pt idx="57">
                  <c:v>Ford Transit Custom Trend PHEV laddhybrid, förmånsv. 3700 kr/mån brutto</c:v>
                </c:pt>
                <c:pt idx="58">
                  <c:v>Audi A4 40 g-tron Proline S tronic, förmånsv. 3692 kr/mån</c:v>
                </c:pt>
                <c:pt idx="59">
                  <c:v>VW e-Crafter, förmånsv. 3900 kr/mån brutto </c:v>
                </c:pt>
                <c:pt idx="60">
                  <c:v>Volvo V60 T6 AWD laddhybrid, förmånsv. 4200 kr/mån brutto</c:v>
                </c:pt>
                <c:pt idx="61">
                  <c:v>Iveco Daily 3,5 ton skåp HVO100, förmånsv. 7707 kr/mån</c:v>
                </c:pt>
                <c:pt idx="62">
                  <c:v>VW ID.4 Max 80kWh, förmånsv.  3800 kr/mån brutto</c:v>
                </c:pt>
                <c:pt idx="63">
                  <c:v>SEAT Tarraco CNG biogas, förmånsv. 4400 kr/mån brutto</c:v>
                </c:pt>
                <c:pt idx="64">
                  <c:v>Volvo XC40 Recharge P8 AWD (el), förmånsv. 4000 kr/mån brutto</c:v>
                </c:pt>
                <c:pt idx="65">
                  <c:v>Tesla S Long Range AWD, förmånsvärde 5600 kr/mån brutto</c:v>
                </c:pt>
                <c:pt idx="66">
                  <c:v>Audi A4 40 TDI Proline S tronic, förmånsv. 4716 kr/mån</c:v>
                </c:pt>
                <c:pt idx="67">
                  <c:v>jämförelsebil VW Caddy Cargo 122 TDI (diesel) DSG, förmånsv. 4000 kr/mån brutto </c:v>
                </c:pt>
                <c:pt idx="68">
                  <c:v>jämförelsebil Seat Ibiza TSI 95 Style man, förmånsv. 2772 kr/mån</c:v>
                </c:pt>
                <c:pt idx="69">
                  <c:v>jämförelsebil VW Golf 1.0 eTSI 110 DSG bensin, förmånsv. 3300 kr/mån brutto </c:v>
                </c:pt>
                <c:pt idx="70">
                  <c:v>jmf-bil Audi A4 40 TFSI quattro Proline S tronic, förmånsv. 4823 kr/mån</c:v>
                </c:pt>
              </c:strCache>
            </c:strRef>
          </c:cat>
          <c:val>
            <c:numRef>
              <c:f>'Tabell sorterbar'!$AD$7:$AD$77</c:f>
              <c:numCache>
                <c:formatCode>#\ ##0.00_ ;\-#\ ##0.00\ </c:formatCode>
                <c:ptCount val="71"/>
                <c:pt idx="0">
                  <c:v>3.9708240000000006E-2</c:v>
                </c:pt>
                <c:pt idx="1">
                  <c:v>4.0154400000000007E-2</c:v>
                </c:pt>
                <c:pt idx="2" formatCode="#\ ##0.0_ ;\-#\ ##0.0\ ">
                  <c:v>0.47455200000000014</c:v>
                </c:pt>
                <c:pt idx="3">
                  <c:v>3.9708240000000006E-2</c:v>
                </c:pt>
                <c:pt idx="4">
                  <c:v>5.5770000000000007E-2</c:v>
                </c:pt>
                <c:pt idx="5" formatCode="#\ ##0.0_ ;\-#\ ##0.0\ ">
                  <c:v>0.5430984000000002</c:v>
                </c:pt>
                <c:pt idx="6">
                  <c:v>4.2385200000000005E-2</c:v>
                </c:pt>
                <c:pt idx="7">
                  <c:v>4.0154400000000007E-2</c:v>
                </c:pt>
                <c:pt idx="8">
                  <c:v>5.7777720000000012E-2</c:v>
                </c:pt>
                <c:pt idx="9">
                  <c:v>3.3462000000000013E-2</c:v>
                </c:pt>
                <c:pt idx="10" formatCode="#\ ##0.0_ ;\-#\ ##0.0\ ">
                  <c:v>0.4481677200000001</c:v>
                </c:pt>
                <c:pt idx="11">
                  <c:v>3.6585120000000013E-2</c:v>
                </c:pt>
                <c:pt idx="12" formatCode="#\ ##0.0_ ;\-#\ ##0.0\ ">
                  <c:v>0.88055760000000027</c:v>
                </c:pt>
                <c:pt idx="13">
                  <c:v>4.0154400000000007E-2</c:v>
                </c:pt>
                <c:pt idx="14">
                  <c:v>3.0785040000000003E-2</c:v>
                </c:pt>
                <c:pt idx="15">
                  <c:v>3.3462000000000013E-2</c:v>
                </c:pt>
                <c:pt idx="16" formatCode="#\ ##0.0_ ;\-#\ ##0.0\ ">
                  <c:v>0.57473520000000011</c:v>
                </c:pt>
                <c:pt idx="17" formatCode="#\ ##0.0_ ;\-#\ ##0.0\ ">
                  <c:v>0.58000800000000019</c:v>
                </c:pt>
                <c:pt idx="18">
                  <c:v>5.8223880000000006E-2</c:v>
                </c:pt>
                <c:pt idx="19">
                  <c:v>5.8223880000000006E-2</c:v>
                </c:pt>
                <c:pt idx="20">
                  <c:v>5.8223880000000006E-2</c:v>
                </c:pt>
                <c:pt idx="21">
                  <c:v>6.1347000000000006E-2</c:v>
                </c:pt>
                <c:pt idx="22">
                  <c:v>6.2462400000000008E-2</c:v>
                </c:pt>
                <c:pt idx="23" formatCode="#\ ##0.0_ ;\-#\ ##0.0\ ">
                  <c:v>1.1407499999999999</c:v>
                </c:pt>
                <c:pt idx="24">
                  <c:v>3.4800480000000009E-2</c:v>
                </c:pt>
                <c:pt idx="25" formatCode="#\ ##0.0_ ;\-#\ ##0.0\ ">
                  <c:v>0.58528080000000016</c:v>
                </c:pt>
                <c:pt idx="26">
                  <c:v>5.7777720000000012E-2</c:v>
                </c:pt>
                <c:pt idx="27">
                  <c:v>3.9039000000000011E-2</c:v>
                </c:pt>
                <c:pt idx="28" formatCode="#\ ##0.0_ ;\-#\ ##0.0\ ">
                  <c:v>0.59582640000000009</c:v>
                </c:pt>
                <c:pt idx="29">
                  <c:v>3.5023560000000009E-2</c:v>
                </c:pt>
                <c:pt idx="30" formatCode="#\ ##0.0_ ;\-#\ ##0.0\ ">
                  <c:v>0.58528080000000016</c:v>
                </c:pt>
                <c:pt idx="31" formatCode="#\ ##0.0_ ;\-#\ ##0.0\ ">
                  <c:v>0.59055360000000023</c:v>
                </c:pt>
                <c:pt idx="32" formatCode="#\ ##0.0_ ;\-#\ ##0.0\ ">
                  <c:v>1.1407499999999999</c:v>
                </c:pt>
                <c:pt idx="33" formatCode="#\ ##0.0_ ;\-#\ ##0.0\ ">
                  <c:v>0.50282232000000016</c:v>
                </c:pt>
                <c:pt idx="34" formatCode="#\ ##0.0_ ;\-#\ ##0.0\ ">
                  <c:v>1.06153125</c:v>
                </c:pt>
                <c:pt idx="35" formatCode="#\ ##0.0_ ;\-#\ ##0.0\ ">
                  <c:v>0.50282232000000016</c:v>
                </c:pt>
                <c:pt idx="36">
                  <c:v>3.7477440000000008E-2</c:v>
                </c:pt>
                <c:pt idx="37" formatCode="#\ ##0.0_ ;\-#\ ##0.0\ ">
                  <c:v>0.57933876000000006</c:v>
                </c:pt>
                <c:pt idx="38">
                  <c:v>3.4354320000000008E-2</c:v>
                </c:pt>
                <c:pt idx="39">
                  <c:v>5.4431520000000004E-2</c:v>
                </c:pt>
                <c:pt idx="40" formatCode="#\ ##0.0_ ;\-#\ ##0.0\ ">
                  <c:v>0.80888808000000023</c:v>
                </c:pt>
                <c:pt idx="41" formatCode="#\ ##0.0_ ;\-#\ ##0.0\ ">
                  <c:v>1.3784062500000001</c:v>
                </c:pt>
                <c:pt idx="42">
                  <c:v>4.6846800000000015E-2</c:v>
                </c:pt>
                <c:pt idx="43" formatCode="#\ ##0.0_ ;\-#\ ##0.0\ ">
                  <c:v>1.21996875</c:v>
                </c:pt>
                <c:pt idx="44">
                  <c:v>4.461600000000001E-2</c:v>
                </c:pt>
                <c:pt idx="45" formatCode="#\ ##0.0_ ;\-#\ ##0.0\ ">
                  <c:v>0.79092000000000007</c:v>
                </c:pt>
                <c:pt idx="46">
                  <c:v>6.6924000000000025E-2</c:v>
                </c:pt>
                <c:pt idx="47" formatCode="#\ ##0.0_ ;\-#\ ##0.0\ ">
                  <c:v>0.89637600000000017</c:v>
                </c:pt>
                <c:pt idx="48" formatCode="#\ ##0.0_ ;\-#\ ##0.0\ ">
                  <c:v>1.2991875000000002</c:v>
                </c:pt>
                <c:pt idx="49" formatCode="#\ ##0.0_ ;\-#\ ##0.0\ ">
                  <c:v>1.5526875</c:v>
                </c:pt>
                <c:pt idx="50">
                  <c:v>7.1385600000000007E-2</c:v>
                </c:pt>
                <c:pt idx="51" formatCode="#\ ##0.0_ ;\-#\ ##0.0\ ">
                  <c:v>1.1705616000000003</c:v>
                </c:pt>
                <c:pt idx="52">
                  <c:v>3.7254360000000007E-2</c:v>
                </c:pt>
                <c:pt idx="53">
                  <c:v>6.9154800000000016E-2</c:v>
                </c:pt>
                <c:pt idx="54">
                  <c:v>7.2054840000000009E-2</c:v>
                </c:pt>
                <c:pt idx="55" formatCode="#\ ##0.0_ ;\-#\ ##0.0\ ">
                  <c:v>0.61213152000000026</c:v>
                </c:pt>
                <c:pt idx="56">
                  <c:v>4.2831360000000006E-2</c:v>
                </c:pt>
                <c:pt idx="57" formatCode="#\ ##0.0_ ;\-#\ ##0.0\ ">
                  <c:v>1.9392749999999999</c:v>
                </c:pt>
                <c:pt idx="58" formatCode="#\ ##0.0_ ;\-#\ ##0.0\ ">
                  <c:v>0.55364400000000014</c:v>
                </c:pt>
                <c:pt idx="59">
                  <c:v>6.6924000000000025E-2</c:v>
                </c:pt>
                <c:pt idx="60" formatCode="#\ ##0.0_ ;\-#\ ##0.0\ ">
                  <c:v>1.5209999999999999</c:v>
                </c:pt>
                <c:pt idx="61" formatCode="#\ ##0.0_ ;\-#\ ##0.0\ ">
                  <c:v>0.8416808400000001</c:v>
                </c:pt>
                <c:pt idx="62">
                  <c:v>4.1269800000000002E-2</c:v>
                </c:pt>
                <c:pt idx="63" formatCode="#\ ##0.0_ ;\-#\ ##0.0\ ">
                  <c:v>0.8911032000000001</c:v>
                </c:pt>
                <c:pt idx="64">
                  <c:v>5.3316120000000022E-2</c:v>
                </c:pt>
                <c:pt idx="65">
                  <c:v>5.5770000000000007E-2</c:v>
                </c:pt>
                <c:pt idx="66" formatCode="#\ ##0.0_ ;\-#\ ##0.0\ ">
                  <c:v>1.9008869880000003</c:v>
                </c:pt>
                <c:pt idx="67" formatCode="#\ ##0.0_ ;\-#\ ##0.0\ ">
                  <c:v>2.1031090080000006</c:v>
                </c:pt>
                <c:pt idx="68" formatCode="#\ ##0.0_ ;\-#\ ##0.0\ ">
                  <c:v>2.4795777006000002</c:v>
                </c:pt>
                <c:pt idx="69" formatCode="#\ ##0.0_ ;\-#\ ##0.0\ ">
                  <c:v>2.5281968712000005</c:v>
                </c:pt>
                <c:pt idx="70" formatCode="#\ ##0.0_ ;\-#\ ##0.0\ ">
                  <c:v>2.8685310654000005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19-46C0-AD6E-E032230730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0"/>
        <c:axId val="1198468480"/>
        <c:axId val="857309680"/>
      </c:barChart>
      <c:catAx>
        <c:axId val="65705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sv-SE"/>
          </a:p>
        </c:txPr>
        <c:crossAx val="857317168"/>
        <c:crosses val="autoZero"/>
        <c:auto val="1"/>
        <c:lblAlgn val="ctr"/>
        <c:lblOffset val="100"/>
        <c:noMultiLvlLbl val="0"/>
      </c:catAx>
      <c:valAx>
        <c:axId val="857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kr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6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sv-SE"/>
          </a:p>
        </c:txPr>
        <c:crossAx val="657052656"/>
        <c:crosses val="autoZero"/>
        <c:crossBetween val="between"/>
      </c:valAx>
      <c:valAx>
        <c:axId val="85730968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sv-SE"/>
          </a:p>
        </c:txPr>
        <c:crossAx val="1198468480"/>
        <c:crosses val="max"/>
        <c:crossBetween val="between"/>
      </c:valAx>
      <c:catAx>
        <c:axId val="119846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7309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3.258981462558732E-3"/>
          <c:y val="1.1345178711299831E-3"/>
          <c:w val="0.42419728358304365"/>
          <c:h val="0.123247846370300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F745FB-99ED-429E-AC55-0C86C480A1D3}">
  <sheetPr/>
  <sheetViews>
    <sheetView workbookViewId="0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Radio" firstButton="1" fmlaLink="$F$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162348</xdr:rowOff>
    </xdr:from>
    <xdr:to>
      <xdr:col>18</xdr:col>
      <xdr:colOff>742950</xdr:colOff>
      <xdr:row>116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603250</xdr:colOff>
          <xdr:row>4</xdr:row>
          <xdr:rowOff>19050</xdr:rowOff>
        </xdr:from>
        <xdr:to>
          <xdr:col>6</xdr:col>
          <xdr:colOff>552450</xdr:colOff>
          <xdr:row>4</xdr:row>
          <xdr:rowOff>247650</xdr:rowOff>
        </xdr:to>
        <xdr:sp macro="" textlink="">
          <xdr:nvSpPr>
            <xdr:cNvPr id="8199" name="Option Button 7" descr="Nej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</xdr:row>
          <xdr:rowOff>19050</xdr:rowOff>
        </xdr:from>
        <xdr:to>
          <xdr:col>4</xdr:col>
          <xdr:colOff>590550</xdr:colOff>
          <xdr:row>4</xdr:row>
          <xdr:rowOff>247650</xdr:rowOff>
        </xdr:to>
        <xdr:sp macro="" textlink="">
          <xdr:nvSpPr>
            <xdr:cNvPr id="8200" name="Option Butto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0.62293</cdr:x>
      <cdr:y>0.03318</cdr:y>
    </cdr:from>
    <cdr:to>
      <cdr:x>0.75641</cdr:x>
      <cdr:y>0.17978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25E88DEF-AB71-4333-A94D-9A4FB01A8B62}"/>
            </a:ext>
          </a:extLst>
        </cdr:cNvPr>
        <cdr:cNvSpPr txBox="1"/>
      </cdr:nvSpPr>
      <cdr:spPr>
        <a:xfrm xmlns:a="http://schemas.openxmlformats.org/drawingml/2006/main">
          <a:off x="8741833" y="91016"/>
          <a:ext cx="1873250" cy="40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0.19231</cdr:x>
      <cdr:y>0.20679</cdr:y>
    </cdr:from>
    <cdr:to>
      <cdr:x>0.67647</cdr:x>
      <cdr:y>0.36111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06124E5E-D9DC-4486-844A-E2D01E5AD21F}"/>
            </a:ext>
          </a:extLst>
        </cdr:cNvPr>
        <cdr:cNvSpPr txBox="1"/>
      </cdr:nvSpPr>
      <cdr:spPr>
        <a:xfrm xmlns:a="http://schemas.openxmlformats.org/drawingml/2006/main">
          <a:off x="2698749" y="567266"/>
          <a:ext cx="6794500" cy="42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0.17654</cdr:x>
      <cdr:y>5.97573E-7</cdr:y>
    </cdr:from>
    <cdr:to>
      <cdr:x>0.42695</cdr:x>
      <cdr:y>0.07806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8E1E00B8-DA2C-4E9A-A854-0B439F264F36}"/>
            </a:ext>
          </a:extLst>
        </cdr:cNvPr>
        <cdr:cNvSpPr txBox="1"/>
      </cdr:nvSpPr>
      <cdr:spPr>
        <a:xfrm xmlns:a="http://schemas.openxmlformats.org/drawingml/2006/main">
          <a:off x="3107492" y="3"/>
          <a:ext cx="4407733" cy="3918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2000" b="0" i="0" baseline="0"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milkostnad och klimatpåverkan vid  </a:t>
          </a:r>
          <a:endParaRPr lang="sv-SE" sz="2000"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 xmlns:a="http://schemas.openxmlformats.org/drawingml/2006/main">
          <a:endParaRPr lang="sv-SE" sz="2000"/>
        </a:p>
      </cdr:txBody>
    </cdr:sp>
  </cdr:relSizeAnchor>
  <cdr:relSizeAnchor xmlns:cdr="http://schemas.openxmlformats.org/drawingml/2006/chartDrawing">
    <cdr:from>
      <cdr:x>0.4514</cdr:x>
      <cdr:y>0.0019</cdr:y>
    </cdr:from>
    <cdr:to>
      <cdr:x>0.62571</cdr:x>
      <cdr:y>0.09681</cdr:y>
    </cdr:to>
    <cdr:sp macro="" textlink="">
      <cdr:nvSpPr>
        <cdr:cNvPr id="5" name="textruta 1">
          <a:extLst xmlns:a="http://schemas.openxmlformats.org/drawingml/2006/main">
            <a:ext uri="{FF2B5EF4-FFF2-40B4-BE49-F238E27FC236}">
              <a16:creationId xmlns:a16="http://schemas.microsoft.com/office/drawing/2014/main" id="{49574C4F-7318-4A78-B4C7-7C9476CE5EF8}"/>
            </a:ext>
          </a:extLst>
        </cdr:cNvPr>
        <cdr:cNvSpPr txBox="1"/>
      </cdr:nvSpPr>
      <cdr:spPr>
        <a:xfrm xmlns:a="http://schemas.openxmlformats.org/drawingml/2006/main">
          <a:off x="7945577" y="9525"/>
          <a:ext cx="3068240" cy="4764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2000" b="0" i="0" baseline="0"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mil per år</a:t>
          </a:r>
          <a:endParaRPr lang="sv-SE" sz="2000"/>
        </a:p>
      </cdr:txBody>
    </cdr:sp>
  </cdr:relSizeAnchor>
  <cdr:relSizeAnchor xmlns:cdr="http://schemas.openxmlformats.org/drawingml/2006/chartDrawing">
    <cdr:from>
      <cdr:x>0.4082</cdr:x>
      <cdr:y>0</cdr:y>
    </cdr:from>
    <cdr:to>
      <cdr:x>0.45617</cdr:x>
      <cdr:y>0.09491</cdr:y>
    </cdr:to>
    <cdr:sp macro="" textlink="'Tabell sorterbar'!$E$4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EA41780-D4F3-4E44-9FFF-D504C3776428}"/>
            </a:ext>
          </a:extLst>
        </cdr:cNvPr>
        <cdr:cNvSpPr txBox="1"/>
      </cdr:nvSpPr>
      <cdr:spPr>
        <a:xfrm xmlns:a="http://schemas.openxmlformats.org/drawingml/2006/main">
          <a:off x="7185264" y="0"/>
          <a:ext cx="844311" cy="4764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DFF09FB-3FB7-4A22-BDEC-F5538F335108}" type="TxLink">
            <a:rPr lang="en-US" sz="2000" b="0" i="0" u="none" strike="noStrike">
              <a:solidFill>
                <a:srgbClr val="000000"/>
              </a:solidFill>
              <a:latin typeface="Cambria"/>
              <a:ea typeface="Cambria"/>
            </a:rPr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1 500</a:t>
          </a:fld>
          <a:endParaRPr lang="sv-SE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44600" cy="9105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0.62293</cdr:x>
      <cdr:y>0.03318</cdr:y>
    </cdr:from>
    <cdr:to>
      <cdr:x>0.75641</cdr:x>
      <cdr:y>0.17978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25E88DEF-AB71-4333-A94D-9A4FB01A8B62}"/>
            </a:ext>
          </a:extLst>
        </cdr:cNvPr>
        <cdr:cNvSpPr txBox="1"/>
      </cdr:nvSpPr>
      <cdr:spPr>
        <a:xfrm xmlns:a="http://schemas.openxmlformats.org/drawingml/2006/main">
          <a:off x="8741833" y="91016"/>
          <a:ext cx="1873250" cy="40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0.19231</cdr:x>
      <cdr:y>0.20679</cdr:y>
    </cdr:from>
    <cdr:to>
      <cdr:x>0.67647</cdr:x>
      <cdr:y>0.36111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06124E5E-D9DC-4486-844A-E2D01E5AD21F}"/>
            </a:ext>
          </a:extLst>
        </cdr:cNvPr>
        <cdr:cNvSpPr txBox="1"/>
      </cdr:nvSpPr>
      <cdr:spPr>
        <a:xfrm xmlns:a="http://schemas.openxmlformats.org/drawingml/2006/main">
          <a:off x="2698749" y="567266"/>
          <a:ext cx="6794500" cy="42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0.41686</cdr:x>
      <cdr:y>0</cdr:y>
    </cdr:from>
    <cdr:to>
      <cdr:x>0.85349</cdr:x>
      <cdr:y>0.07806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8E1E00B8-DA2C-4E9A-A854-0B439F264F36}"/>
            </a:ext>
          </a:extLst>
        </cdr:cNvPr>
        <cdr:cNvSpPr txBox="1"/>
      </cdr:nvSpPr>
      <cdr:spPr>
        <a:xfrm xmlns:a="http://schemas.openxmlformats.org/drawingml/2006/main">
          <a:off x="3873500" y="0"/>
          <a:ext cx="4057227" cy="4733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700" b="0" i="0" baseline="0"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milkostnad och klimatpåverkan vid  </a:t>
          </a:r>
          <a:endParaRPr lang="sv-SE" sz="1700"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 xmlns:a="http://schemas.openxmlformats.org/drawingml/2006/main">
          <a:endParaRPr lang="sv-SE" sz="1700"/>
        </a:p>
      </cdr:txBody>
    </cdr:sp>
  </cdr:relSizeAnchor>
  <cdr:relSizeAnchor xmlns:cdr="http://schemas.openxmlformats.org/drawingml/2006/chartDrawing">
    <cdr:from>
      <cdr:x>0.87918</cdr:x>
      <cdr:y>0</cdr:y>
    </cdr:from>
    <cdr:to>
      <cdr:x>1</cdr:x>
      <cdr:y>0.08726</cdr:y>
    </cdr:to>
    <cdr:sp macro="" textlink="">
      <cdr:nvSpPr>
        <cdr:cNvPr id="5" name="textruta 1">
          <a:extLst xmlns:a="http://schemas.openxmlformats.org/drawingml/2006/main">
            <a:ext uri="{FF2B5EF4-FFF2-40B4-BE49-F238E27FC236}">
              <a16:creationId xmlns:a16="http://schemas.microsoft.com/office/drawing/2014/main" id="{49574C4F-7318-4A78-B4C7-7C9476CE5EF8}"/>
            </a:ext>
          </a:extLst>
        </cdr:cNvPr>
        <cdr:cNvSpPr txBox="1"/>
      </cdr:nvSpPr>
      <cdr:spPr>
        <a:xfrm xmlns:a="http://schemas.openxmlformats.org/drawingml/2006/main">
          <a:off x="8169519" y="0"/>
          <a:ext cx="1122648" cy="5291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700" b="0" i="0" baseline="0"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mil per år</a:t>
          </a:r>
          <a:endParaRPr lang="sv-SE" sz="1700"/>
        </a:p>
      </cdr:txBody>
    </cdr:sp>
  </cdr:relSizeAnchor>
  <cdr:relSizeAnchor xmlns:cdr="http://schemas.openxmlformats.org/drawingml/2006/chartDrawing">
    <cdr:from>
      <cdr:x>0.81002</cdr:x>
      <cdr:y>0</cdr:y>
    </cdr:from>
    <cdr:to>
      <cdr:x>0.88575</cdr:x>
      <cdr:y>0.06808</cdr:y>
    </cdr:to>
    <cdr:sp macro="" textlink="'Tabell sorterbar'!$E$4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EA41780-D4F3-4E44-9FFF-D504C3776428}"/>
            </a:ext>
          </a:extLst>
        </cdr:cNvPr>
        <cdr:cNvSpPr txBox="1"/>
      </cdr:nvSpPr>
      <cdr:spPr>
        <a:xfrm xmlns:a="http://schemas.openxmlformats.org/drawingml/2006/main">
          <a:off x="7526806" y="0"/>
          <a:ext cx="703770" cy="4128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692D85F1-E10D-4440-A293-341B4FD8BDA3}" type="TxLink">
            <a:rPr lang="en-US" sz="1700" b="0" i="0" u="none" strike="noStrike">
              <a:solidFill>
                <a:srgbClr val="000000"/>
              </a:solidFill>
              <a:latin typeface="Cambria"/>
              <a:ea typeface="Cambria"/>
              <a:cs typeface="Calibri"/>
            </a:rPr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1 500</a:t>
          </a:fld>
          <a:endParaRPr lang="sv-SE" sz="17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%20Hagberg\Dropbox\ED\ED%20_F&#246;retag\Roxtec\Roxtec%20FOF-j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 inkl 8p exkl persbil 60m HVO"/>
      <sheetName val="pb inkl 8p exkl persbil 60m GAS"/>
      <sheetName val="tjänstebilar4wd som idag"/>
      <sheetName val="tjänstebilar 50% el"/>
      <sheetName val="tjänstebilar 3 "/>
      <sheetName val="utökad pb exkl tjb"/>
      <sheetName val="pb exkl tjänstebilar + minibuss"/>
      <sheetName val="tjänstebilar el &amp; gas"/>
      <sheetName val="pb exkl tjänstebilar"/>
      <sheetName val="LLB"/>
      <sheetName val="LLB jmf gas"/>
      <sheetName val="jämförelse pb inkl minibuss"/>
      <sheetName val="pb exkl minibuss"/>
      <sheetName val="pb inkl 8p exkl persbil 60mån"/>
    </sheetNames>
    <sheetDataSet>
      <sheetData sheetId="0"/>
      <sheetData sheetId="1"/>
      <sheetData sheetId="2"/>
      <sheetData sheetId="3"/>
      <sheetData sheetId="4">
        <row r="17">
          <cell r="AF17">
            <v>229900</v>
          </cell>
        </row>
        <row r="30">
          <cell r="Q30">
            <v>2276</v>
          </cell>
          <cell r="AF30">
            <v>223900</v>
          </cell>
        </row>
      </sheetData>
      <sheetData sheetId="5">
        <row r="17">
          <cell r="AE17">
            <v>199900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799B-88EE-4A5F-AE44-460ECDDD5636}">
  <dimension ref="A1:A19"/>
  <sheetViews>
    <sheetView workbookViewId="0">
      <selection activeCell="A35" sqref="A35"/>
    </sheetView>
  </sheetViews>
  <sheetFormatPr defaultRowHeight="14.5" x14ac:dyDescent="0.35"/>
  <cols>
    <col min="1" max="1" width="93.90625" bestFit="1" customWidth="1"/>
  </cols>
  <sheetData>
    <row r="1" spans="1:1" ht="26" x14ac:dyDescent="0.6">
      <c r="A1" s="128" t="s">
        <v>178</v>
      </c>
    </row>
    <row r="3" spans="1:1" s="129" customFormat="1" x14ac:dyDescent="0.35">
      <c r="A3" s="129" t="s">
        <v>189</v>
      </c>
    </row>
    <row r="5" spans="1:1" s="129" customFormat="1" x14ac:dyDescent="0.35">
      <c r="A5" s="129" t="s">
        <v>191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1" spans="1:1" s="129" customFormat="1" x14ac:dyDescent="0.35">
      <c r="A11" s="129" t="s">
        <v>190</v>
      </c>
    </row>
    <row r="13" spans="1:1" s="129" customFormat="1" x14ac:dyDescent="0.35">
      <c r="A13" s="129" t="s">
        <v>183</v>
      </c>
    </row>
    <row r="14" spans="1:1" x14ac:dyDescent="0.35">
      <c r="A14" t="s">
        <v>184</v>
      </c>
    </row>
    <row r="15" spans="1:1" x14ac:dyDescent="0.35">
      <c r="A15" t="s">
        <v>185</v>
      </c>
    </row>
    <row r="16" spans="1:1" x14ac:dyDescent="0.35">
      <c r="A16" t="s">
        <v>186</v>
      </c>
    </row>
    <row r="17" spans="1:1" x14ac:dyDescent="0.35">
      <c r="A17" t="s">
        <v>187</v>
      </c>
    </row>
    <row r="19" spans="1:1" s="129" customFormat="1" x14ac:dyDescent="0.35">
      <c r="A19" s="129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7E95-65EE-4E2B-BF59-937372C55C8B}">
  <sheetPr codeName="Blad1">
    <pageSetUpPr fitToPage="1"/>
  </sheetPr>
  <dimension ref="A1:AK80"/>
  <sheetViews>
    <sheetView tabSelected="1" zoomScaleNormal="100" workbookViewId="0">
      <pane xSplit="5" ySplit="6" topLeftCell="G76" activePane="bottomRight" state="frozen"/>
      <selection activeCell="AG13" sqref="AG13"/>
      <selection pane="topRight" activeCell="AG13" sqref="AG13"/>
      <selection pane="bottomLeft" activeCell="AG13" sqref="AG13"/>
      <selection pane="bottomRight" activeCell="O4" sqref="O4"/>
    </sheetView>
  </sheetViews>
  <sheetFormatPr defaultColWidth="9.1796875" defaultRowHeight="14.5" x14ac:dyDescent="0.35"/>
  <cols>
    <col min="1" max="1" width="10.26953125" style="6" customWidth="1"/>
    <col min="2" max="2" width="6" style="1" customWidth="1"/>
    <col min="3" max="3" width="9.7265625" style="1" customWidth="1"/>
    <col min="4" max="4" width="66.26953125" style="1" customWidth="1"/>
    <col min="5" max="5" width="13.81640625" style="1" bestFit="1" customWidth="1"/>
    <col min="6" max="6" width="10.1796875" style="1" hidden="1" customWidth="1"/>
    <col min="7" max="7" width="15.7265625" style="1" customWidth="1"/>
    <col min="8" max="8" width="13.81640625" style="1" customWidth="1"/>
    <col min="9" max="9" width="13.81640625" style="1" hidden="1" customWidth="1"/>
    <col min="10" max="10" width="13.81640625" style="1" customWidth="1"/>
    <col min="11" max="11" width="10.26953125" style="1" customWidth="1"/>
    <col min="12" max="12" width="12" style="1" customWidth="1"/>
    <col min="13" max="13" width="15" style="1" customWidth="1"/>
    <col min="14" max="14" width="13.81640625" style="1" customWidth="1"/>
    <col min="15" max="16" width="14.7265625" style="1" customWidth="1"/>
    <col min="17" max="17" width="17.7265625" style="1" customWidth="1"/>
    <col min="18" max="18" width="9.26953125" style="53" customWidth="1"/>
    <col min="19" max="19" width="11.54296875" style="1" customWidth="1"/>
    <col min="20" max="20" width="7.81640625" style="1" customWidth="1"/>
    <col min="21" max="21" width="9.7265625" style="1" customWidth="1"/>
    <col min="22" max="22" width="14.81640625" style="53" hidden="1" customWidth="1"/>
    <col min="23" max="23" width="10.26953125" style="1" customWidth="1"/>
    <col min="24" max="24" width="8.453125" style="1" customWidth="1"/>
    <col min="25" max="25" width="11.453125" style="7" hidden="1" customWidth="1"/>
    <col min="26" max="26" width="12.54296875" style="1" customWidth="1"/>
    <col min="27" max="27" width="8.453125" style="1" customWidth="1"/>
    <col min="28" max="28" width="7.54296875" style="1" customWidth="1"/>
    <col min="29" max="29" width="12.453125" style="1" customWidth="1"/>
    <col min="30" max="30" width="12.7265625" style="1" customWidth="1"/>
    <col min="31" max="31" width="13.26953125" style="1" customWidth="1"/>
    <col min="32" max="32" width="16" style="6" customWidth="1"/>
    <col min="33" max="33" width="14.1796875" style="1" customWidth="1"/>
    <col min="34" max="34" width="19.81640625" style="1" customWidth="1"/>
    <col min="35" max="35" width="6.7265625" style="1" customWidth="1"/>
    <col min="36" max="36" width="20.7265625" style="6" customWidth="1"/>
    <col min="37" max="16384" width="9.1796875" style="1"/>
  </cols>
  <sheetData>
    <row r="1" spans="1:36" ht="20" x14ac:dyDescent="0.35">
      <c r="N1" s="60" t="s">
        <v>76</v>
      </c>
      <c r="O1" s="5">
        <v>1.5</v>
      </c>
      <c r="P1" s="60" t="s">
        <v>85</v>
      </c>
      <c r="Q1" s="134" t="s">
        <v>172</v>
      </c>
    </row>
    <row r="2" spans="1:36" ht="21" customHeight="1" x14ac:dyDescent="0.35">
      <c r="N2" s="60" t="s">
        <v>77</v>
      </c>
      <c r="O2" s="5">
        <v>20</v>
      </c>
      <c r="P2" s="60" t="s">
        <v>85</v>
      </c>
      <c r="Q2" s="134"/>
      <c r="U2" s="75"/>
      <c r="W2" s="75"/>
    </row>
    <row r="3" spans="1:36" ht="21" customHeight="1" x14ac:dyDescent="0.35">
      <c r="F3" s="8">
        <f>IF(F5=2,0,1)</f>
        <v>0</v>
      </c>
      <c r="G3" s="130" t="s">
        <v>79</v>
      </c>
      <c r="H3" s="132">
        <v>0.5</v>
      </c>
      <c r="N3" s="60" t="s">
        <v>78</v>
      </c>
      <c r="O3" s="5">
        <v>18.5</v>
      </c>
      <c r="P3" s="60" t="s">
        <v>85</v>
      </c>
      <c r="Q3" s="134"/>
      <c r="U3" s="75"/>
      <c r="W3" s="86"/>
      <c r="X3" s="86"/>
      <c r="AE3" s="7"/>
      <c r="AF3" s="9"/>
      <c r="AH3" s="8"/>
      <c r="AI3" s="8"/>
      <c r="AJ3" s="9"/>
    </row>
    <row r="4" spans="1:36" ht="21" customHeight="1" x14ac:dyDescent="0.35">
      <c r="D4" s="60" t="s">
        <v>24</v>
      </c>
      <c r="E4" s="4">
        <v>1500</v>
      </c>
      <c r="F4" s="8"/>
      <c r="G4" s="130"/>
      <c r="H4" s="132"/>
      <c r="N4" s="60" t="s">
        <v>170</v>
      </c>
      <c r="O4" s="5">
        <v>17.5</v>
      </c>
      <c r="P4" s="60" t="s">
        <v>85</v>
      </c>
      <c r="Q4" s="134"/>
      <c r="U4" s="75"/>
      <c r="W4" s="86"/>
      <c r="X4" s="86"/>
      <c r="AE4" s="7"/>
      <c r="AF4" s="9"/>
      <c r="AH4" s="8"/>
      <c r="AI4" s="8"/>
      <c r="AJ4" s="9"/>
    </row>
    <row r="5" spans="1:36" ht="21" customHeight="1" thickBot="1" x14ac:dyDescent="0.4">
      <c r="D5" s="60" t="s">
        <v>55</v>
      </c>
      <c r="E5" s="4"/>
      <c r="F5" s="8">
        <v>2</v>
      </c>
      <c r="G5" s="131"/>
      <c r="H5" s="133"/>
      <c r="N5" s="60" t="s">
        <v>87</v>
      </c>
      <c r="O5" s="5">
        <v>16.5</v>
      </c>
      <c r="P5" s="60" t="s">
        <v>85</v>
      </c>
      <c r="Q5" s="135"/>
      <c r="R5" s="54"/>
      <c r="U5" s="75"/>
      <c r="V5" s="54"/>
      <c r="AE5" s="7"/>
      <c r="AF5" s="9"/>
      <c r="AH5" s="8"/>
      <c r="AI5" s="8"/>
      <c r="AJ5" s="9"/>
    </row>
    <row r="6" spans="1:36" ht="87.75" customHeight="1" thickBot="1" x14ac:dyDescent="0.4">
      <c r="A6" s="2" t="s">
        <v>88</v>
      </c>
      <c r="B6" s="3" t="s">
        <v>66</v>
      </c>
      <c r="C6" s="3" t="s">
        <v>67</v>
      </c>
      <c r="D6" s="46" t="s">
        <v>5</v>
      </c>
      <c r="E6" s="65" t="s">
        <v>30</v>
      </c>
      <c r="F6" s="11" t="s">
        <v>31</v>
      </c>
      <c r="G6" s="10" t="s">
        <v>7</v>
      </c>
      <c r="H6" s="12" t="s">
        <v>8</v>
      </c>
      <c r="I6" s="12" t="s">
        <v>50</v>
      </c>
      <c r="J6" s="12" t="s">
        <v>49</v>
      </c>
      <c r="K6" s="17" t="s">
        <v>100</v>
      </c>
      <c r="L6" s="12" t="s">
        <v>136</v>
      </c>
      <c r="M6" s="87" t="s">
        <v>159</v>
      </c>
      <c r="N6" s="65" t="s">
        <v>99</v>
      </c>
      <c r="O6" s="13" t="s">
        <v>62</v>
      </c>
      <c r="P6" s="13" t="s">
        <v>63</v>
      </c>
      <c r="Q6" s="66" t="s">
        <v>48</v>
      </c>
      <c r="R6" s="15" t="s">
        <v>132</v>
      </c>
      <c r="S6" s="14" t="s">
        <v>75</v>
      </c>
      <c r="T6" s="79" t="s">
        <v>135</v>
      </c>
      <c r="U6" s="17" t="s">
        <v>74</v>
      </c>
      <c r="V6" s="64" t="s">
        <v>53</v>
      </c>
      <c r="W6" s="15" t="s">
        <v>54</v>
      </c>
      <c r="X6" s="15" t="s">
        <v>90</v>
      </c>
      <c r="Y6" s="16" t="s">
        <v>32</v>
      </c>
      <c r="Z6" s="17" t="s">
        <v>33</v>
      </c>
      <c r="AA6" s="16" t="s">
        <v>171</v>
      </c>
      <c r="AB6" s="65" t="s">
        <v>92</v>
      </c>
      <c r="AC6" s="18" t="s">
        <v>35</v>
      </c>
      <c r="AD6" s="19" t="s">
        <v>51</v>
      </c>
      <c r="AE6" s="15" t="s">
        <v>80</v>
      </c>
      <c r="AF6" s="20" t="s">
        <v>93</v>
      </c>
      <c r="AG6" s="20" t="s">
        <v>81</v>
      </c>
      <c r="AH6" s="55"/>
      <c r="AI6" s="55"/>
      <c r="AJ6" s="56" t="s">
        <v>72</v>
      </c>
    </row>
    <row r="7" spans="1:36" x14ac:dyDescent="0.35">
      <c r="B7" s="47" t="s">
        <v>70</v>
      </c>
      <c r="C7" s="47" t="s">
        <v>68</v>
      </c>
      <c r="D7" s="48" t="s">
        <v>107</v>
      </c>
      <c r="E7" s="32">
        <v>253000</v>
      </c>
      <c r="F7" s="43">
        <v>44140</v>
      </c>
      <c r="G7" s="92">
        <v>-70000</v>
      </c>
      <c r="H7" s="23">
        <f t="shared" ref="H7:H38" si="0">+E7+G7</f>
        <v>183000</v>
      </c>
      <c r="I7" s="23">
        <f>36*PMT(0.04/12*0.7,36,-H7,E7*'restvärde o service'!$F$19)</f>
        <v>84774.172051725996</v>
      </c>
      <c r="J7" s="24">
        <f>36*PMT(0.04/12,36,-H7*0.9,0.9*E7*'restvärde o service'!$F$19)</f>
        <v>81126.732572159221</v>
      </c>
      <c r="K7" s="76">
        <v>36</v>
      </c>
      <c r="L7" s="24">
        <f>ROUNDDOWN(J7/3,-3)</f>
        <v>27000</v>
      </c>
      <c r="M7" s="88">
        <f t="shared" ref="M7:M38" si="1">L7/AE7</f>
        <v>0.79411764705882348</v>
      </c>
      <c r="N7" s="25">
        <v>34000</v>
      </c>
      <c r="O7" s="24">
        <f t="shared" ref="O7:O38" si="2">ROUND(N7*0.3142,-2)</f>
        <v>10700</v>
      </c>
      <c r="P7" s="24">
        <f t="shared" ref="P7:P38" si="3">N7/12</f>
        <v>2833.3333333333335</v>
      </c>
      <c r="Q7" s="67">
        <v>1.78</v>
      </c>
      <c r="R7" s="84">
        <f>Q7</f>
        <v>1.78</v>
      </c>
      <c r="S7" s="23">
        <v>360</v>
      </c>
      <c r="T7" s="23"/>
      <c r="U7" s="95">
        <f t="shared" ref="U7:U46" si="4">S7/$E$4</f>
        <v>0.24</v>
      </c>
      <c r="V7" s="95">
        <f>W7/0.8</f>
        <v>2.9369999999999998</v>
      </c>
      <c r="W7" s="95">
        <f>Q7*1.1*$O$1*0.8</f>
        <v>2.3496000000000001</v>
      </c>
      <c r="X7" s="61">
        <f t="shared" ref="X7:X38" si="5">W7/AF7</f>
        <v>0.10340214291582074</v>
      </c>
      <c r="Y7" s="27">
        <f t="shared" ref="Y7:Y42" si="6">Z7*1.25</f>
        <v>2.6666666666666665</v>
      </c>
      <c r="Z7" s="95">
        <f>'restvärde o service'!$I$19*2/3</f>
        <v>2.1333333333333333</v>
      </c>
      <c r="AA7" s="24"/>
      <c r="AB7" s="28"/>
      <c r="AC7" s="23">
        <f>'restvärde o service'!$J$19+'restvärde o service'!$K$19</f>
        <v>0</v>
      </c>
      <c r="AD7" s="29">
        <f>Q7*1.1*0.338*0.04*$E$4/1000</f>
        <v>3.9708240000000006E-2</v>
      </c>
      <c r="AE7" s="30">
        <f t="shared" ref="AE7:AE38" si="7">ROUND(AF7*$E$4,-3)</f>
        <v>34000</v>
      </c>
      <c r="AF7" s="31">
        <f t="shared" ref="AF7:AF38" si="8">(L7/$E$4)+U7+W7+Z7+(AC7/3/$E$4)</f>
        <v>22.72293333333333</v>
      </c>
      <c r="AG7" s="96">
        <f t="shared" ref="AG7:AG38" si="9">ROUND($F$3*O7/$E$4,1)</f>
        <v>0</v>
      </c>
      <c r="AH7" s="57" t="str">
        <f>D7</f>
        <v>Renault Zoe 52 kWh hyr, förmånsv. 2800 kr/mån brutto</v>
      </c>
      <c r="AI7" s="57">
        <v>1</v>
      </c>
      <c r="AJ7" s="57"/>
    </row>
    <row r="8" spans="1:36" x14ac:dyDescent="0.35">
      <c r="B8" s="47" t="s">
        <v>71</v>
      </c>
      <c r="C8" s="47" t="s">
        <v>68</v>
      </c>
      <c r="D8" s="48" t="s">
        <v>153</v>
      </c>
      <c r="E8" s="32">
        <f>250600/0.8</f>
        <v>313250</v>
      </c>
      <c r="F8" s="22">
        <v>44246</v>
      </c>
      <c r="G8" s="92">
        <v>-70000</v>
      </c>
      <c r="H8" s="24">
        <f t="shared" si="0"/>
        <v>243250</v>
      </c>
      <c r="I8" s="23">
        <f>60*PMT(0.04/12*0.7,60,-H8,E8*'restvärde o service'!$F$19)</f>
        <v>133120.96836848356</v>
      </c>
      <c r="J8" s="24">
        <f>60*PMT(0.04/12,60,-H8*0.9,0.9*E8*'restvärde o service'!$G$19)</f>
        <v>165368.32180919379</v>
      </c>
      <c r="K8" s="76">
        <v>60</v>
      </c>
      <c r="L8" s="24">
        <f>ROUNDDOWN(J8/5,-3)</f>
        <v>33000</v>
      </c>
      <c r="M8" s="88">
        <f t="shared" si="1"/>
        <v>0.82499999999999996</v>
      </c>
      <c r="N8" s="25">
        <v>37001</v>
      </c>
      <c r="O8" s="24">
        <f t="shared" si="2"/>
        <v>11600</v>
      </c>
      <c r="P8" s="24">
        <f t="shared" si="3"/>
        <v>3083.4166666666665</v>
      </c>
      <c r="Q8" s="67">
        <v>1.8</v>
      </c>
      <c r="R8" s="84">
        <f>Q8</f>
        <v>1.8</v>
      </c>
      <c r="S8" s="24">
        <v>360</v>
      </c>
      <c r="T8" s="24"/>
      <c r="U8" s="95">
        <f t="shared" si="4"/>
        <v>0.24</v>
      </c>
      <c r="V8" s="95">
        <f>W8/0.8</f>
        <v>2.97</v>
      </c>
      <c r="W8" s="95">
        <f>Q8*1.1*$O$1*0.8</f>
        <v>2.3760000000000003</v>
      </c>
      <c r="X8" s="61">
        <f t="shared" si="5"/>
        <v>8.882464360482506E-2</v>
      </c>
      <c r="Y8" s="34">
        <f t="shared" si="6"/>
        <v>2.6666666666666665</v>
      </c>
      <c r="Z8" s="95">
        <f>'restvärde o service'!$I$19*2/3</f>
        <v>2.1333333333333333</v>
      </c>
      <c r="AA8" s="35"/>
      <c r="AB8" s="24"/>
      <c r="AC8" s="23">
        <f>'restvärde o service'!$J$19+'restvärde o service'!$K$19</f>
        <v>0</v>
      </c>
      <c r="AD8" s="29">
        <f>Q8*1.1*0.338*0.04*$E$4/1000</f>
        <v>4.0154400000000007E-2</v>
      </c>
      <c r="AE8" s="30">
        <f t="shared" si="7"/>
        <v>40000</v>
      </c>
      <c r="AF8" s="31">
        <f t="shared" si="8"/>
        <v>26.749333333333333</v>
      </c>
      <c r="AG8" s="96">
        <f t="shared" si="9"/>
        <v>0</v>
      </c>
      <c r="AH8" s="57" t="str">
        <f>D8</f>
        <v xml:space="preserve">Renault Kangoo Maxi ZE (el) hyr, förmånsv. 3100 kr/mån brutto </v>
      </c>
      <c r="AI8" s="57">
        <v>2</v>
      </c>
      <c r="AJ8" s="58"/>
    </row>
    <row r="9" spans="1:36" x14ac:dyDescent="0.35">
      <c r="B9" s="47" t="s">
        <v>70</v>
      </c>
      <c r="C9" s="93" t="s">
        <v>1</v>
      </c>
      <c r="D9" s="49" t="s">
        <v>175</v>
      </c>
      <c r="E9" s="32">
        <v>194900</v>
      </c>
      <c r="F9" s="22"/>
      <c r="G9" s="92">
        <v>-10000</v>
      </c>
      <c r="H9" s="24">
        <f t="shared" si="0"/>
        <v>184900</v>
      </c>
      <c r="I9" s="23"/>
      <c r="J9" s="24">
        <f>36*PMT(0.04/12,36,-H9*0.9,0.9*E9*'restvärde o service'!$F$19)</f>
        <v>104513.99861130425</v>
      </c>
      <c r="K9" s="76">
        <v>36</v>
      </c>
      <c r="L9" s="24">
        <f>ROUNDDOWN(J9/3,-3)</f>
        <v>34000</v>
      </c>
      <c r="M9" s="88">
        <f t="shared" si="1"/>
        <v>0.70833333333333337</v>
      </c>
      <c r="N9" s="25">
        <v>32435</v>
      </c>
      <c r="O9" s="24">
        <f t="shared" si="2"/>
        <v>10200</v>
      </c>
      <c r="P9" s="24">
        <f t="shared" si="3"/>
        <v>2702.9166666666665</v>
      </c>
      <c r="Q9" s="67">
        <f>AB9/275</f>
        <v>0.32727272727272727</v>
      </c>
      <c r="R9" s="84">
        <f>Q9*13</f>
        <v>4.2545454545454549</v>
      </c>
      <c r="S9" s="24">
        <v>360</v>
      </c>
      <c r="T9" s="24"/>
      <c r="U9" s="95">
        <f t="shared" si="4"/>
        <v>0.24</v>
      </c>
      <c r="V9" s="95"/>
      <c r="W9" s="95">
        <f>R9/13*1.1*$O$2*0.8</f>
        <v>5.7600000000000016</v>
      </c>
      <c r="X9" s="61">
        <f t="shared" si="5"/>
        <v>0.18075313807531385</v>
      </c>
      <c r="Y9" s="34">
        <f t="shared" si="6"/>
        <v>4</v>
      </c>
      <c r="Z9" s="95">
        <f>'restvärde o service'!$I$19</f>
        <v>3.2</v>
      </c>
      <c r="AA9" s="91"/>
      <c r="AB9" s="36">
        <v>90</v>
      </c>
      <c r="AC9" s="23">
        <f>'restvärde o service'!$J$19+'restvärde o service'!$K$19</f>
        <v>0</v>
      </c>
      <c r="AD9" s="37">
        <f>Q9*1.1*0.338*0.2*13*$E$4/1000</f>
        <v>0.47455200000000014</v>
      </c>
      <c r="AE9" s="30">
        <f t="shared" si="7"/>
        <v>48000</v>
      </c>
      <c r="AF9" s="31">
        <f t="shared" si="8"/>
        <v>31.866666666666667</v>
      </c>
      <c r="AG9" s="96">
        <f t="shared" si="9"/>
        <v>0</v>
      </c>
      <c r="AH9" s="57"/>
      <c r="AI9" s="57">
        <v>3</v>
      </c>
      <c r="AJ9" s="57"/>
    </row>
    <row r="10" spans="1:36" x14ac:dyDescent="0.35">
      <c r="A10" s="6" t="s">
        <v>94</v>
      </c>
      <c r="B10" s="47" t="s">
        <v>70</v>
      </c>
      <c r="C10" s="93" t="s">
        <v>68</v>
      </c>
      <c r="D10" s="48" t="s">
        <v>108</v>
      </c>
      <c r="E10" s="32">
        <v>333000</v>
      </c>
      <c r="F10" s="97">
        <v>44140</v>
      </c>
      <c r="G10" s="92">
        <v>-70000</v>
      </c>
      <c r="H10" s="24">
        <f t="shared" si="0"/>
        <v>263000</v>
      </c>
      <c r="I10" s="23">
        <f>36*PMT(0.04/12*0.7,36,-H10,E10*'restvärde o service'!$F$19)</f>
        <v>134683.07773646477</v>
      </c>
      <c r="J10" s="24">
        <f>36*PMT(0.04/12,36,-H10*0.9,0.9*E10*'restvärde o service'!$F$19)</f>
        <v>127952.70271213731</v>
      </c>
      <c r="K10" s="76">
        <v>36</v>
      </c>
      <c r="L10" s="24">
        <f>ROUNDDOWN(J10/3,-3)</f>
        <v>42000</v>
      </c>
      <c r="M10" s="88">
        <f t="shared" si="1"/>
        <v>0.8571428571428571</v>
      </c>
      <c r="N10" s="25">
        <v>34000</v>
      </c>
      <c r="O10" s="24">
        <f t="shared" si="2"/>
        <v>10700</v>
      </c>
      <c r="P10" s="24">
        <f t="shared" si="3"/>
        <v>2833.3333333333335</v>
      </c>
      <c r="Q10" s="67">
        <v>1.78</v>
      </c>
      <c r="R10" s="84">
        <f>Q10</f>
        <v>1.78</v>
      </c>
      <c r="S10" s="24">
        <v>360</v>
      </c>
      <c r="T10" s="24"/>
      <c r="U10" s="95">
        <f t="shared" si="4"/>
        <v>0.24</v>
      </c>
      <c r="V10" s="95">
        <f t="shared" ref="V10:V36" si="10">W10/0.8</f>
        <v>2.9369999999999998</v>
      </c>
      <c r="W10" s="95">
        <f>Q10*1.1*$O$1*0.8</f>
        <v>2.3496000000000001</v>
      </c>
      <c r="X10" s="61">
        <f t="shared" si="5"/>
        <v>7.1802853859882179E-2</v>
      </c>
      <c r="Y10" s="34">
        <f t="shared" si="6"/>
        <v>2.6666666666666665</v>
      </c>
      <c r="Z10" s="95">
        <f>'restvärde o service'!$I$19*2/3</f>
        <v>2.1333333333333333</v>
      </c>
      <c r="AA10" s="24"/>
      <c r="AB10" s="35"/>
      <c r="AC10" s="23">
        <f>'restvärde o service'!$J$19+'restvärde o service'!$K$19</f>
        <v>0</v>
      </c>
      <c r="AD10" s="29">
        <f>Q10*1.1*0.338*0.04*$E$4/1000</f>
        <v>3.9708240000000006E-2</v>
      </c>
      <c r="AE10" s="30">
        <f t="shared" si="7"/>
        <v>49000</v>
      </c>
      <c r="AF10" s="31">
        <f t="shared" si="8"/>
        <v>32.72293333333333</v>
      </c>
      <c r="AG10" s="96">
        <f t="shared" si="9"/>
        <v>0</v>
      </c>
      <c r="AH10" s="57" t="str">
        <f t="shared" ref="AH10:AH36" si="11">D10</f>
        <v>Renault Zoe 52 kWh köp, förmånsv. 2800 kr/mån brutto</v>
      </c>
      <c r="AI10" s="57">
        <v>4</v>
      </c>
      <c r="AJ10" s="57"/>
    </row>
    <row r="11" spans="1:36" x14ac:dyDescent="0.35">
      <c r="B11" s="47" t="s">
        <v>71</v>
      </c>
      <c r="C11" s="47" t="s">
        <v>68</v>
      </c>
      <c r="D11" s="48" t="s">
        <v>125</v>
      </c>
      <c r="E11" s="32">
        <f>295500/0.8</f>
        <v>369375</v>
      </c>
      <c r="F11" s="22">
        <v>44246</v>
      </c>
      <c r="G11" s="92">
        <v>-70000</v>
      </c>
      <c r="H11" s="24">
        <f t="shared" si="0"/>
        <v>299375</v>
      </c>
      <c r="I11" s="23">
        <f>60*PMT(0.04/12*0.7,60,-H11,E11*'restvärde o service'!$F$19)</f>
        <v>170427.16471812621</v>
      </c>
      <c r="J11" s="24">
        <f>60*PMT(0.04/12,60,-H11*0.9,0.9*E11*'restvärde o service'!$G$19)</f>
        <v>207470.18376249276</v>
      </c>
      <c r="K11" s="76">
        <v>60</v>
      </c>
      <c r="L11" s="24">
        <f>ROUNDDOWN(J11/5,-3)</f>
        <v>41000</v>
      </c>
      <c r="M11" s="88">
        <f t="shared" si="1"/>
        <v>0.82</v>
      </c>
      <c r="N11" s="25">
        <v>31957</v>
      </c>
      <c r="O11" s="24">
        <f t="shared" si="2"/>
        <v>10000</v>
      </c>
      <c r="P11" s="24">
        <f t="shared" si="3"/>
        <v>2663.0833333333335</v>
      </c>
      <c r="Q11" s="67">
        <v>2.5</v>
      </c>
      <c r="R11" s="84">
        <f>Q11</f>
        <v>2.5</v>
      </c>
      <c r="S11" s="23">
        <v>360</v>
      </c>
      <c r="T11" s="24"/>
      <c r="U11" s="95">
        <f t="shared" si="4"/>
        <v>0.24</v>
      </c>
      <c r="V11" s="95">
        <f t="shared" si="10"/>
        <v>4.125</v>
      </c>
      <c r="W11" s="95">
        <f>Q11*1.1*$O$1*0.8</f>
        <v>3.3000000000000003</v>
      </c>
      <c r="X11" s="61">
        <f t="shared" si="5"/>
        <v>9.997980206018986E-2</v>
      </c>
      <c r="Y11" s="34">
        <f t="shared" si="6"/>
        <v>2.6666666666666665</v>
      </c>
      <c r="Z11" s="95">
        <f>'restvärde o service'!$I$19*2/3</f>
        <v>2.1333333333333333</v>
      </c>
      <c r="AA11" s="35"/>
      <c r="AB11" s="24"/>
      <c r="AC11" s="23">
        <f>'restvärde o service'!$J$19+'restvärde o service'!$K$19</f>
        <v>0</v>
      </c>
      <c r="AD11" s="29">
        <f>Q11*1.1*0.338*0.04*$E$4/1000</f>
        <v>5.5770000000000007E-2</v>
      </c>
      <c r="AE11" s="30">
        <f t="shared" si="7"/>
        <v>50000</v>
      </c>
      <c r="AF11" s="31">
        <f t="shared" si="8"/>
        <v>33.006666666666668</v>
      </c>
      <c r="AG11" s="96">
        <f t="shared" si="9"/>
        <v>0</v>
      </c>
      <c r="AH11" s="57" t="str">
        <f t="shared" si="11"/>
        <v xml:space="preserve">Maxus e-Deliver 3, 4,8 kbm 35 kWh, förmånsv. 2700 kr/mån brutto </v>
      </c>
      <c r="AI11" s="57">
        <v>5</v>
      </c>
      <c r="AJ11" s="58"/>
    </row>
    <row r="12" spans="1:36" x14ac:dyDescent="0.35">
      <c r="A12" s="6" t="s">
        <v>94</v>
      </c>
      <c r="B12" s="47" t="s">
        <v>70</v>
      </c>
      <c r="C12" s="93" t="s">
        <v>1</v>
      </c>
      <c r="D12" s="49" t="s">
        <v>137</v>
      </c>
      <c r="E12" s="32">
        <v>199900</v>
      </c>
      <c r="F12" s="22">
        <v>44139</v>
      </c>
      <c r="G12" s="92">
        <v>-10000</v>
      </c>
      <c r="H12" s="24">
        <f t="shared" si="0"/>
        <v>189900</v>
      </c>
      <c r="I12" s="23">
        <f>36*PMT(0.04/12*0.7,36,-H12,E12*'restvärde o service'!$F$19)</f>
        <v>114272.34348313234</v>
      </c>
      <c r="J12" s="24">
        <f>36*PMT(0.04/12,36,-H12*0.9,0.9*E12*'restvärde o service'!$F$19)</f>
        <v>107440.62174505289</v>
      </c>
      <c r="K12" s="76">
        <v>36</v>
      </c>
      <c r="L12" s="24">
        <f>ROUNDDOWN(J12/3,-3)</f>
        <v>35000</v>
      </c>
      <c r="M12" s="88">
        <f t="shared" si="1"/>
        <v>0.7</v>
      </c>
      <c r="N12" s="25">
        <v>30300</v>
      </c>
      <c r="O12" s="24">
        <f t="shared" si="2"/>
        <v>9500</v>
      </c>
      <c r="P12" s="24">
        <f t="shared" si="3"/>
        <v>2525</v>
      </c>
      <c r="Q12" s="67">
        <f>AB12/275</f>
        <v>0.37454545454545457</v>
      </c>
      <c r="R12" s="84">
        <f>Q12*13</f>
        <v>4.8690909090909091</v>
      </c>
      <c r="S12" s="23">
        <f>IF(((AB12-111)*11+360)&lt;360,360,((AB12-111)*11+360))</f>
        <v>360</v>
      </c>
      <c r="T12" s="24"/>
      <c r="U12" s="95">
        <f t="shared" si="4"/>
        <v>0.24</v>
      </c>
      <c r="V12" s="95">
        <f t="shared" si="10"/>
        <v>8.24</v>
      </c>
      <c r="W12" s="95">
        <f>R12/13*1.1*$O$2*0.8</f>
        <v>6.5920000000000005</v>
      </c>
      <c r="X12" s="61">
        <f t="shared" si="5"/>
        <v>0.19757033248081843</v>
      </c>
      <c r="Y12" s="34">
        <f t="shared" si="6"/>
        <v>4</v>
      </c>
      <c r="Z12" s="95">
        <f>'restvärde o service'!$I$19</f>
        <v>3.2</v>
      </c>
      <c r="AA12" s="91"/>
      <c r="AB12" s="36">
        <v>103</v>
      </c>
      <c r="AC12" s="23">
        <f>'restvärde o service'!$J$19+'restvärde o service'!$K$19</f>
        <v>0</v>
      </c>
      <c r="AD12" s="37">
        <f>Q12*1.1*0.338*0.2*13*$E$4/1000</f>
        <v>0.5430984000000002</v>
      </c>
      <c r="AE12" s="30">
        <f t="shared" si="7"/>
        <v>50000</v>
      </c>
      <c r="AF12" s="31">
        <f t="shared" si="8"/>
        <v>33.365333333333332</v>
      </c>
      <c r="AG12" s="96">
        <f t="shared" si="9"/>
        <v>0</v>
      </c>
      <c r="AH12" s="57" t="str">
        <f t="shared" si="11"/>
        <v>SEAT Ibiza TGI 90 Style man (biogas), förmånsv. 2500 kr/mån brutto</v>
      </c>
      <c r="AI12" s="57">
        <v>6</v>
      </c>
      <c r="AJ12" s="57"/>
    </row>
    <row r="13" spans="1:36" x14ac:dyDescent="0.35">
      <c r="B13" s="47" t="s">
        <v>70</v>
      </c>
      <c r="C13" s="93" t="s">
        <v>68</v>
      </c>
      <c r="D13" s="50" t="s">
        <v>110</v>
      </c>
      <c r="E13" s="33">
        <v>349900</v>
      </c>
      <c r="F13" s="39">
        <v>44137</v>
      </c>
      <c r="G13" s="92">
        <v>-70000</v>
      </c>
      <c r="H13" s="24">
        <f t="shared" si="0"/>
        <v>279900</v>
      </c>
      <c r="I13" s="23">
        <f>36*PMT(0.04/12*0.7,36,-H13,E13*'restvärde o service'!$F$19)</f>
        <v>145226.33406236582</v>
      </c>
      <c r="J13" s="24">
        <f>36*PMT(0.04/12,36,-H13*0.9,0.9*E13*'restvärde o service'!$F$19)</f>
        <v>137844.68890420767</v>
      </c>
      <c r="K13" s="76">
        <v>36</v>
      </c>
      <c r="L13" s="24">
        <f>ROUNDDOWN(J13/3,-3)</f>
        <v>45000</v>
      </c>
      <c r="M13" s="88">
        <f t="shared" si="1"/>
        <v>0.86538461538461542</v>
      </c>
      <c r="N13" s="24">
        <v>38900</v>
      </c>
      <c r="O13" s="24">
        <f t="shared" si="2"/>
        <v>12200</v>
      </c>
      <c r="P13" s="24">
        <f t="shared" si="3"/>
        <v>3241.6666666666665</v>
      </c>
      <c r="Q13" s="67">
        <v>1.9</v>
      </c>
      <c r="R13" s="84">
        <f>Q13</f>
        <v>1.9</v>
      </c>
      <c r="S13" s="24">
        <v>360</v>
      </c>
      <c r="T13" s="24"/>
      <c r="U13" s="95">
        <f t="shared" si="4"/>
        <v>0.24</v>
      </c>
      <c r="V13" s="95">
        <f t="shared" si="10"/>
        <v>3.1349999999999998</v>
      </c>
      <c r="W13" s="95">
        <f>Q13*1.1*$O$1*0.8</f>
        <v>2.508</v>
      </c>
      <c r="X13" s="61">
        <f t="shared" si="5"/>
        <v>7.1900921218607861E-2</v>
      </c>
      <c r="Y13" s="34">
        <f t="shared" si="6"/>
        <v>2.6666666666666665</v>
      </c>
      <c r="Z13" s="95">
        <f>'restvärde o service'!$I$19*2/3</f>
        <v>2.1333333333333333</v>
      </c>
      <c r="AA13" s="35"/>
      <c r="AB13" s="24"/>
      <c r="AC13" s="23">
        <f>'restvärde o service'!$J$19+'restvärde o service'!$K$19</f>
        <v>0</v>
      </c>
      <c r="AD13" s="29">
        <f>Q13*1.1*0.338*0.04*$E$4/1000</f>
        <v>4.2385200000000005E-2</v>
      </c>
      <c r="AE13" s="30">
        <f t="shared" si="7"/>
        <v>52000</v>
      </c>
      <c r="AF13" s="31">
        <f t="shared" si="8"/>
        <v>34.88133333333333</v>
      </c>
      <c r="AG13" s="96">
        <f t="shared" si="9"/>
        <v>0</v>
      </c>
      <c r="AH13" s="57" t="str">
        <f t="shared" si="11"/>
        <v>Mazda MX-30 35 kWh, förmånsv. 3200 kr/mån brutto</v>
      </c>
      <c r="AI13" s="57">
        <v>7</v>
      </c>
      <c r="AJ13" s="57"/>
    </row>
    <row r="14" spans="1:36" x14ac:dyDescent="0.35">
      <c r="B14" s="47" t="s">
        <v>71</v>
      </c>
      <c r="C14" s="47" t="s">
        <v>68</v>
      </c>
      <c r="D14" s="50" t="s">
        <v>152</v>
      </c>
      <c r="E14" s="33">
        <f>320700/0.8</f>
        <v>400875</v>
      </c>
      <c r="F14" s="39">
        <v>44246</v>
      </c>
      <c r="G14" s="92">
        <v>-70000</v>
      </c>
      <c r="H14" s="24">
        <f t="shared" si="0"/>
        <v>330875</v>
      </c>
      <c r="I14" s="23">
        <f>60*PMT(0.04/12*0.7,60,-H14,E14*'restvärde o service'!$F$19)</f>
        <v>191365.16356024187</v>
      </c>
      <c r="J14" s="24">
        <f>60*PMT(0.04/12,60,-H14*0.9,0.9*E14*'restvärde o service'!$G$19)</f>
        <v>231099.73657369838</v>
      </c>
      <c r="K14" s="76">
        <v>60</v>
      </c>
      <c r="L14" s="24">
        <f>ROUNDDOWN(J14/5,-3)</f>
        <v>46000</v>
      </c>
      <c r="M14" s="88">
        <f t="shared" si="1"/>
        <v>0.86792452830188682</v>
      </c>
      <c r="N14" s="25">
        <v>37001</v>
      </c>
      <c r="O14" s="24">
        <f t="shared" si="2"/>
        <v>11600</v>
      </c>
      <c r="P14" s="24">
        <f t="shared" si="3"/>
        <v>3083.4166666666665</v>
      </c>
      <c r="Q14" s="67">
        <v>1.8</v>
      </c>
      <c r="R14" s="84">
        <f>Q14</f>
        <v>1.8</v>
      </c>
      <c r="S14" s="23">
        <v>360</v>
      </c>
      <c r="T14" s="23"/>
      <c r="U14" s="95">
        <f t="shared" si="4"/>
        <v>0.24</v>
      </c>
      <c r="V14" s="95">
        <f t="shared" si="10"/>
        <v>2.97</v>
      </c>
      <c r="W14" s="95">
        <f>Q14*1.1*$O$1*0.8</f>
        <v>2.3760000000000003</v>
      </c>
      <c r="X14" s="61">
        <f t="shared" si="5"/>
        <v>6.708832166252543E-2</v>
      </c>
      <c r="Y14" s="34">
        <f t="shared" si="6"/>
        <v>2.6666666666666665</v>
      </c>
      <c r="Z14" s="95">
        <f>'restvärde o service'!$I$19*2/3</f>
        <v>2.1333333333333333</v>
      </c>
      <c r="AA14" s="35"/>
      <c r="AB14" s="24"/>
      <c r="AC14" s="23">
        <f>'restvärde o service'!$J$19+'restvärde o service'!$K$19</f>
        <v>0</v>
      </c>
      <c r="AD14" s="29">
        <f>Q14*1.1*0.338*0.04*$E$4/1000</f>
        <v>4.0154400000000007E-2</v>
      </c>
      <c r="AE14" s="30">
        <f t="shared" si="7"/>
        <v>53000</v>
      </c>
      <c r="AF14" s="31">
        <f t="shared" si="8"/>
        <v>35.415999999999997</v>
      </c>
      <c r="AG14" s="96">
        <f t="shared" si="9"/>
        <v>0</v>
      </c>
      <c r="AH14" s="57" t="str">
        <f t="shared" si="11"/>
        <v xml:space="preserve">Renault Kangoo Maxi ZE (el) köp, förmånsv. 3100 kr/mån brutto </v>
      </c>
      <c r="AI14" s="57">
        <v>8</v>
      </c>
      <c r="AJ14" s="58"/>
    </row>
    <row r="15" spans="1:36" x14ac:dyDescent="0.35">
      <c r="B15" s="47" t="s">
        <v>71</v>
      </c>
      <c r="C15" s="47" t="s">
        <v>68</v>
      </c>
      <c r="D15" s="50" t="s">
        <v>126</v>
      </c>
      <c r="E15" s="33">
        <f>317000/0.8</f>
        <v>396250</v>
      </c>
      <c r="F15" s="39">
        <v>44246</v>
      </c>
      <c r="G15" s="92">
        <v>-70000</v>
      </c>
      <c r="H15" s="24">
        <f t="shared" si="0"/>
        <v>326250</v>
      </c>
      <c r="I15" s="23">
        <f>60*PMT(0.04/12*0.7,60,-H15,E15*'restvärde o service'!$F$19)</f>
        <v>188290.93357151857</v>
      </c>
      <c r="J15" s="24">
        <f>60*PMT(0.04/12,60,-H15*0.9,0.9*E15*'restvärde o service'!$G$19)</f>
        <v>227630.31810538645</v>
      </c>
      <c r="K15" s="76">
        <v>60</v>
      </c>
      <c r="L15" s="24">
        <f>ROUNDDOWN(J15/5,-3)</f>
        <v>45000</v>
      </c>
      <c r="M15" s="88">
        <f t="shared" si="1"/>
        <v>0.83333333333333337</v>
      </c>
      <c r="N15" s="25">
        <v>35267</v>
      </c>
      <c r="O15" s="24">
        <f t="shared" si="2"/>
        <v>11100</v>
      </c>
      <c r="P15" s="24">
        <f t="shared" si="3"/>
        <v>2938.9166666666665</v>
      </c>
      <c r="Q15" s="67">
        <v>2.59</v>
      </c>
      <c r="R15" s="84">
        <f>Q15</f>
        <v>2.59</v>
      </c>
      <c r="S15" s="24">
        <v>360</v>
      </c>
      <c r="T15" s="24"/>
      <c r="U15" s="95">
        <f t="shared" si="4"/>
        <v>0.24</v>
      </c>
      <c r="V15" s="95">
        <f t="shared" si="10"/>
        <v>4.2735000000000003</v>
      </c>
      <c r="W15" s="95">
        <f>Q15*1.1*$O$1*0.8</f>
        <v>3.4188000000000005</v>
      </c>
      <c r="X15" s="61">
        <f t="shared" si="5"/>
        <v>9.5518195804664724E-2</v>
      </c>
      <c r="Y15" s="34">
        <f t="shared" si="6"/>
        <v>2.6666666666666665</v>
      </c>
      <c r="Z15" s="95">
        <f>'restvärde o service'!$I$19*2/3</f>
        <v>2.1333333333333333</v>
      </c>
      <c r="AA15" s="35"/>
      <c r="AB15" s="24"/>
      <c r="AC15" s="23">
        <f>'restvärde o service'!$J$19+'restvärde o service'!$K$19</f>
        <v>0</v>
      </c>
      <c r="AD15" s="29">
        <f>Q15*1.1*0.338*0.04*$E$4/1000</f>
        <v>5.7777720000000012E-2</v>
      </c>
      <c r="AE15" s="30">
        <f t="shared" si="7"/>
        <v>54000</v>
      </c>
      <c r="AF15" s="31">
        <f t="shared" si="8"/>
        <v>35.792133333333332</v>
      </c>
      <c r="AG15" s="96">
        <f t="shared" si="9"/>
        <v>0</v>
      </c>
      <c r="AH15" s="57" t="str">
        <f t="shared" si="11"/>
        <v xml:space="preserve">Nissan e-NV200, förmånsv. 2900 kr/mån brutto </v>
      </c>
      <c r="AI15" s="57">
        <v>9</v>
      </c>
      <c r="AJ15" s="58"/>
    </row>
    <row r="16" spans="1:36" x14ac:dyDescent="0.35">
      <c r="A16" s="6" t="s">
        <v>94</v>
      </c>
      <c r="B16" s="47" t="s">
        <v>70</v>
      </c>
      <c r="C16" s="93" t="s">
        <v>68</v>
      </c>
      <c r="D16" s="50" t="s">
        <v>65</v>
      </c>
      <c r="E16" s="33">
        <v>364900</v>
      </c>
      <c r="F16" s="39">
        <v>44139</v>
      </c>
      <c r="G16" s="92">
        <v>-70000</v>
      </c>
      <c r="H16" s="24">
        <f t="shared" si="0"/>
        <v>294900</v>
      </c>
      <c r="I16" s="23">
        <f>36*PMT(0.04/12*0.7,36,-H16,E16*'restvärde o service'!$F$19)</f>
        <v>154584.25387825433</v>
      </c>
      <c r="J16" s="24">
        <f>36*PMT(0.04/12,36,-H16*0.9,0.9*E16*'restvärde o service'!$F$19)</f>
        <v>146624.55830545357</v>
      </c>
      <c r="K16" s="76">
        <v>36</v>
      </c>
      <c r="L16" s="24">
        <f>ROUNDDOWN(J16/3,-3)</f>
        <v>48000</v>
      </c>
      <c r="M16" s="88">
        <f t="shared" si="1"/>
        <v>0.87272727272727268</v>
      </c>
      <c r="N16" s="24">
        <v>30100</v>
      </c>
      <c r="O16" s="24">
        <f t="shared" si="2"/>
        <v>9500</v>
      </c>
      <c r="P16" s="24">
        <f t="shared" si="3"/>
        <v>2508.3333333333335</v>
      </c>
      <c r="Q16" s="67">
        <v>1.5</v>
      </c>
      <c r="R16" s="84">
        <f>Q16</f>
        <v>1.5</v>
      </c>
      <c r="S16" s="23">
        <v>360</v>
      </c>
      <c r="T16" s="23"/>
      <c r="U16" s="95">
        <f t="shared" si="4"/>
        <v>0.24</v>
      </c>
      <c r="V16" s="95">
        <f t="shared" si="10"/>
        <v>2.4750000000000001</v>
      </c>
      <c r="W16" s="95">
        <f>Q16*1.1*$O$1*0.8</f>
        <v>1.9800000000000002</v>
      </c>
      <c r="X16" s="61">
        <f t="shared" si="5"/>
        <v>5.4465431872363843E-2</v>
      </c>
      <c r="Y16" s="34">
        <f t="shared" si="6"/>
        <v>2.6666666666666665</v>
      </c>
      <c r="Z16" s="95">
        <f>'restvärde o service'!$I$19*2/3</f>
        <v>2.1333333333333333</v>
      </c>
      <c r="AA16" s="35"/>
      <c r="AB16" s="24"/>
      <c r="AC16" s="23">
        <f>'restvärde o service'!$J$19+'restvärde o service'!$K$19</f>
        <v>0</v>
      </c>
      <c r="AD16" s="29">
        <f>Q16*1.1*0.338*0.04*$E$4/1000</f>
        <v>3.3462000000000013E-2</v>
      </c>
      <c r="AE16" s="30">
        <f t="shared" si="7"/>
        <v>55000</v>
      </c>
      <c r="AF16" s="31">
        <f t="shared" si="8"/>
        <v>36.353333333333332</v>
      </c>
      <c r="AG16" s="96">
        <f t="shared" si="9"/>
        <v>0</v>
      </c>
      <c r="AH16" s="57" t="str">
        <f t="shared" si="11"/>
        <v xml:space="preserve">Hyundai Kona 39 kWh, förmånsv. 2500 kr/mån brutto </v>
      </c>
      <c r="AI16" s="57">
        <v>10</v>
      </c>
      <c r="AJ16" s="57"/>
    </row>
    <row r="17" spans="1:37" x14ac:dyDescent="0.35">
      <c r="A17" s="6" t="s">
        <v>94</v>
      </c>
      <c r="B17" s="47" t="s">
        <v>70</v>
      </c>
      <c r="C17" s="47" t="s">
        <v>3</v>
      </c>
      <c r="D17" s="50" t="s">
        <v>111</v>
      </c>
      <c r="E17" s="33">
        <v>199900</v>
      </c>
      <c r="F17" s="39">
        <v>44139</v>
      </c>
      <c r="G17" s="92"/>
      <c r="H17" s="24">
        <f t="shared" si="0"/>
        <v>199900</v>
      </c>
      <c r="I17" s="23">
        <f>36*PMT(0.04/12*0.7,36,-H17,E17*'restvärde o service'!$F$19)</f>
        <v>124709.87807974096</v>
      </c>
      <c r="J17" s="24">
        <f>36*PMT(0.04/12,36,-H17*0.9,0.9*E17*'restvärde o service'!$F$19)</f>
        <v>117006.39288727024</v>
      </c>
      <c r="K17" s="76">
        <v>36</v>
      </c>
      <c r="L17" s="24">
        <f>ROUNDDOWN(J17/3,-3)</f>
        <v>39000</v>
      </c>
      <c r="M17" s="88">
        <f t="shared" si="1"/>
        <v>0.67241379310344829</v>
      </c>
      <c r="N17" s="25">
        <v>36420</v>
      </c>
      <c r="O17" s="24">
        <f t="shared" si="2"/>
        <v>11400</v>
      </c>
      <c r="P17" s="24">
        <f t="shared" si="3"/>
        <v>3035</v>
      </c>
      <c r="Q17" s="67">
        <v>0.41</v>
      </c>
      <c r="R17" s="84">
        <f>Q17*9.77</f>
        <v>4.0056999999999992</v>
      </c>
      <c r="S17" s="25">
        <f>IF(AB17&gt;130,(360+250+4280+((AB17-130)*132)+(AB17*13.52)),(360+250+(107*(AB17-90)+AB17*13.52)))</f>
        <v>3875.64</v>
      </c>
      <c r="T17" s="25"/>
      <c r="U17" s="95">
        <f t="shared" si="4"/>
        <v>2.5837599999999998</v>
      </c>
      <c r="V17" s="95">
        <f t="shared" si="10"/>
        <v>8.3435000000000006</v>
      </c>
      <c r="W17" s="95">
        <f>Q17*1.1*$O$3*0.8</f>
        <v>6.6748000000000012</v>
      </c>
      <c r="X17" s="61">
        <f t="shared" si="5"/>
        <v>0.17355824035013273</v>
      </c>
      <c r="Y17" s="34">
        <f t="shared" si="6"/>
        <v>4</v>
      </c>
      <c r="Z17" s="95">
        <f>'restvärde o service'!$I$19</f>
        <v>3.2</v>
      </c>
      <c r="AA17" s="41">
        <v>84</v>
      </c>
      <c r="AB17" s="41">
        <v>107</v>
      </c>
      <c r="AC17" s="23">
        <f>'restvärde o service'!$J$19+'restvärde o service'!$K$19</f>
        <v>0</v>
      </c>
      <c r="AD17" s="37">
        <f>Q17*1.1*0.338*0.2*9.8*$E$4/1000</f>
        <v>0.4481677200000001</v>
      </c>
      <c r="AE17" s="30">
        <f t="shared" si="7"/>
        <v>58000</v>
      </c>
      <c r="AF17" s="31">
        <f t="shared" si="8"/>
        <v>38.458560000000006</v>
      </c>
      <c r="AG17" s="96">
        <f t="shared" si="9"/>
        <v>0</v>
      </c>
      <c r="AH17" s="57" t="str">
        <f t="shared" si="11"/>
        <v>Peugeot 208 1.5 HDi 100 HVO100, förmånsv. 3000 kr/mån brutto</v>
      </c>
      <c r="AI17" s="57">
        <v>11</v>
      </c>
      <c r="AJ17" s="57"/>
    </row>
    <row r="18" spans="1:37" x14ac:dyDescent="0.35">
      <c r="A18" s="6" t="s">
        <v>94</v>
      </c>
      <c r="B18" s="47" t="s">
        <v>70</v>
      </c>
      <c r="C18" s="47" t="s">
        <v>68</v>
      </c>
      <c r="D18" s="50" t="s">
        <v>112</v>
      </c>
      <c r="E18" s="33">
        <v>379900</v>
      </c>
      <c r="F18" s="43">
        <v>44140</v>
      </c>
      <c r="G18" s="92">
        <v>-70000</v>
      </c>
      <c r="H18" s="24">
        <f t="shared" si="0"/>
        <v>309900</v>
      </c>
      <c r="I18" s="23">
        <f>36*PMT(0.04/12*0.7,36,-H18,E18*'restvärde o service'!$F$19)</f>
        <v>163942.17369414284</v>
      </c>
      <c r="J18" s="24">
        <f>36*PMT(0.04/12,36,-H18*0.9,0.9*E18*'restvärde o service'!$F$19)</f>
        <v>155404.42770669947</v>
      </c>
      <c r="K18" s="76">
        <v>36</v>
      </c>
      <c r="L18" s="24">
        <f>ROUNDDOWN(J18/3,-3)</f>
        <v>51000</v>
      </c>
      <c r="M18" s="88">
        <f t="shared" si="1"/>
        <v>0.87931034482758619</v>
      </c>
      <c r="N18" s="25">
        <v>28685</v>
      </c>
      <c r="O18" s="24">
        <f t="shared" si="2"/>
        <v>9000</v>
      </c>
      <c r="P18" s="24">
        <f t="shared" si="3"/>
        <v>2390.4166666666665</v>
      </c>
      <c r="Q18" s="67">
        <v>1.64</v>
      </c>
      <c r="R18" s="84">
        <f>Q18</f>
        <v>1.64</v>
      </c>
      <c r="S18" s="23">
        <v>360</v>
      </c>
      <c r="T18" s="23"/>
      <c r="U18" s="95">
        <f t="shared" si="4"/>
        <v>0.24</v>
      </c>
      <c r="V18" s="95">
        <f t="shared" si="10"/>
        <v>2.706</v>
      </c>
      <c r="W18" s="95">
        <f>Q18*1.1*$O$1*0.8</f>
        <v>2.1648000000000001</v>
      </c>
      <c r="X18" s="61">
        <f t="shared" si="5"/>
        <v>5.6172933475414827E-2</v>
      </c>
      <c r="Y18" s="34">
        <f t="shared" si="6"/>
        <v>2.6666666666666665</v>
      </c>
      <c r="Z18" s="95">
        <f>'restvärde o service'!$I$19*2/3</f>
        <v>2.1333333333333333</v>
      </c>
      <c r="AA18" s="24"/>
      <c r="AB18" s="35"/>
      <c r="AC18" s="23">
        <f>'restvärde o service'!$J$19+'restvärde o service'!$K$19</f>
        <v>0</v>
      </c>
      <c r="AD18" s="29">
        <f>Q18*1.1*0.338*0.04*$E$4/1000</f>
        <v>3.6585120000000013E-2</v>
      </c>
      <c r="AE18" s="30">
        <f t="shared" si="7"/>
        <v>58000</v>
      </c>
      <c r="AF18" s="31">
        <f t="shared" si="8"/>
        <v>38.538133333333334</v>
      </c>
      <c r="AG18" s="96">
        <f t="shared" si="9"/>
        <v>0</v>
      </c>
      <c r="AH18" s="57" t="str">
        <f t="shared" si="11"/>
        <v>Peugeot e-208, förmånsv. 2400 kr/mån brutto</v>
      </c>
      <c r="AI18" s="57">
        <v>12</v>
      </c>
      <c r="AJ18" s="57"/>
    </row>
    <row r="19" spans="1:37" x14ac:dyDescent="0.35">
      <c r="B19" s="47" t="s">
        <v>71</v>
      </c>
      <c r="C19" s="47" t="s">
        <v>1</v>
      </c>
      <c r="D19" s="50" t="s">
        <v>154</v>
      </c>
      <c r="E19" s="25">
        <v>256200</v>
      </c>
      <c r="F19" s="39">
        <v>44312</v>
      </c>
      <c r="G19" s="92">
        <v>-10000</v>
      </c>
      <c r="H19" s="24">
        <f t="shared" si="0"/>
        <v>246200</v>
      </c>
      <c r="I19" s="23"/>
      <c r="J19" s="24">
        <f>60*PMT(0.04/12,60,-H19*0.9,0.9*E19*'restvärde o service'!$G$19)</f>
        <v>182242.10762129541</v>
      </c>
      <c r="K19" s="76">
        <v>60</v>
      </c>
      <c r="L19" s="24">
        <f>ROUNDDOWN(J19/5,-3)</f>
        <v>36000</v>
      </c>
      <c r="M19" s="88">
        <f t="shared" si="1"/>
        <v>0.62068965517241381</v>
      </c>
      <c r="N19" s="25">
        <v>36500</v>
      </c>
      <c r="O19" s="24">
        <f t="shared" si="2"/>
        <v>11500</v>
      </c>
      <c r="P19" s="24">
        <f t="shared" si="3"/>
        <v>3041.6666666666665</v>
      </c>
      <c r="Q19" s="67">
        <f>AB19/275</f>
        <v>0.6072727272727273</v>
      </c>
      <c r="R19" s="84">
        <f>Q19*13</f>
        <v>7.8945454545454545</v>
      </c>
      <c r="S19" s="33">
        <f>360+(AB19-111)*11</f>
        <v>976</v>
      </c>
      <c r="T19" s="33"/>
      <c r="U19" s="95">
        <f t="shared" si="4"/>
        <v>0.65066666666666662</v>
      </c>
      <c r="V19" s="95">
        <f t="shared" si="10"/>
        <v>13.360000000000003</v>
      </c>
      <c r="W19" s="95">
        <f>R19/13*1.1*$O$2*0.8</f>
        <v>10.688000000000002</v>
      </c>
      <c r="X19" s="61">
        <f t="shared" si="5"/>
        <v>0.27733185718239695</v>
      </c>
      <c r="Y19" s="34">
        <f t="shared" si="6"/>
        <v>4</v>
      </c>
      <c r="Z19" s="95">
        <f>'restvärde o service'!$I$19</f>
        <v>3.2</v>
      </c>
      <c r="AA19" s="91"/>
      <c r="AB19" s="41">
        <v>167</v>
      </c>
      <c r="AC19" s="23">
        <f>'restvärde o service'!$J$19+'restvärde o service'!$K$19</f>
        <v>0</v>
      </c>
      <c r="AD19" s="37">
        <f>Q19*1.1*0.338*0.2*13*$E$4/1000</f>
        <v>0.88055760000000027</v>
      </c>
      <c r="AE19" s="30">
        <f t="shared" si="7"/>
        <v>58000</v>
      </c>
      <c r="AF19" s="31">
        <f t="shared" si="8"/>
        <v>38.538666666666671</v>
      </c>
      <c r="AG19" s="96">
        <f t="shared" si="9"/>
        <v>0</v>
      </c>
      <c r="AH19" s="57" t="str">
        <f t="shared" si="11"/>
        <v>Fiat Doblo L1 Nordic CNG biogas, förmånsv. 3000 kr/mån brutto</v>
      </c>
      <c r="AI19" s="57">
        <v>13</v>
      </c>
      <c r="AJ19" s="57"/>
    </row>
    <row r="20" spans="1:37" x14ac:dyDescent="0.35">
      <c r="A20" s="6" t="s">
        <v>94</v>
      </c>
      <c r="B20" s="47" t="s">
        <v>70</v>
      </c>
      <c r="C20" s="47" t="s">
        <v>68</v>
      </c>
      <c r="D20" s="50" t="s">
        <v>64</v>
      </c>
      <c r="E20" s="33">
        <v>379900</v>
      </c>
      <c r="F20" s="38">
        <v>44237</v>
      </c>
      <c r="G20" s="92">
        <v>-70000</v>
      </c>
      <c r="H20" s="24">
        <f t="shared" si="0"/>
        <v>309900</v>
      </c>
      <c r="I20" s="23">
        <f>36*PMT(0.04/12*0.7,36,-H20,E20*'restvärde o service'!$F$19)</f>
        <v>163942.17369414284</v>
      </c>
      <c r="J20" s="24">
        <f>36*PMT(0.04/12,36,-H20*0.9,0.9*E20*'restvärde o service'!$F$19)</f>
        <v>155404.42770669947</v>
      </c>
      <c r="K20" s="76">
        <v>36</v>
      </c>
      <c r="L20" s="24">
        <f>ROUNDDOWN(J20/3,-3)</f>
        <v>51000</v>
      </c>
      <c r="M20" s="88">
        <f t="shared" si="1"/>
        <v>0.87931034482758619</v>
      </c>
      <c r="N20" s="24">
        <f>ROUND(3347*12,-2)</f>
        <v>40200</v>
      </c>
      <c r="O20" s="24">
        <f t="shared" si="2"/>
        <v>12600</v>
      </c>
      <c r="P20" s="24">
        <f t="shared" si="3"/>
        <v>3350</v>
      </c>
      <c r="Q20" s="67">
        <v>1.8</v>
      </c>
      <c r="R20" s="84">
        <f>Q20</f>
        <v>1.8</v>
      </c>
      <c r="S20" s="23">
        <v>360</v>
      </c>
      <c r="T20" s="23"/>
      <c r="U20" s="95">
        <f t="shared" si="4"/>
        <v>0.24</v>
      </c>
      <c r="V20" s="95">
        <f t="shared" si="10"/>
        <v>2.97</v>
      </c>
      <c r="W20" s="95">
        <f>Q20*1.1*$O$1*0.8</f>
        <v>2.3760000000000003</v>
      </c>
      <c r="X20" s="61">
        <f t="shared" si="5"/>
        <v>6.1317183951551862E-2</v>
      </c>
      <c r="Y20" s="34">
        <f t="shared" si="6"/>
        <v>2.6666666666666665</v>
      </c>
      <c r="Z20" s="95">
        <f>'restvärde o service'!$I$19*2/3</f>
        <v>2.1333333333333333</v>
      </c>
      <c r="AA20" s="24"/>
      <c r="AB20" s="35"/>
      <c r="AC20" s="23">
        <f>'restvärde o service'!$J$19+'restvärde o service'!$K$19</f>
        <v>0</v>
      </c>
      <c r="AD20" s="29">
        <f>Q20*1.1*0.338*0.04*$E$4/1000</f>
        <v>4.0154400000000007E-2</v>
      </c>
      <c r="AE20" s="30">
        <f t="shared" si="7"/>
        <v>58000</v>
      </c>
      <c r="AF20" s="31">
        <f t="shared" si="8"/>
        <v>38.749333333333333</v>
      </c>
      <c r="AG20" s="96">
        <f t="shared" si="9"/>
        <v>0</v>
      </c>
      <c r="AH20" s="57" t="str">
        <f t="shared" si="11"/>
        <v xml:space="preserve">DFSK Seres 3 Electric 53 kWh, förmånsv. 3350 kr/mån brutto </v>
      </c>
      <c r="AI20" s="57">
        <v>14</v>
      </c>
      <c r="AJ20" s="57"/>
    </row>
    <row r="21" spans="1:37" x14ac:dyDescent="0.35">
      <c r="A21" s="6" t="s">
        <v>94</v>
      </c>
      <c r="B21" s="47" t="s">
        <v>70</v>
      </c>
      <c r="C21" s="47" t="s">
        <v>68</v>
      </c>
      <c r="D21" s="50" t="s">
        <v>113</v>
      </c>
      <c r="E21" s="33">
        <v>389900</v>
      </c>
      <c r="F21" s="39">
        <v>44139</v>
      </c>
      <c r="G21" s="92">
        <v>-70000</v>
      </c>
      <c r="H21" s="24">
        <f t="shared" si="0"/>
        <v>319900</v>
      </c>
      <c r="I21" s="23">
        <f>36*PMT(0.04/12*0.7,36,-H21,E21*'restvärde o service'!$F$19)</f>
        <v>170180.7869047352</v>
      </c>
      <c r="J21" s="24">
        <f>36*PMT(0.04/12,36,-H21*0.9,0.9*E21*'restvärde o service'!$F$19)</f>
        <v>161257.67397419672</v>
      </c>
      <c r="K21" s="76">
        <v>36</v>
      </c>
      <c r="L21" s="24">
        <f>ROUNDDOWN(J21/3,-3)</f>
        <v>53000</v>
      </c>
      <c r="M21" s="88">
        <f t="shared" si="1"/>
        <v>0.89830508474576276</v>
      </c>
      <c r="N21" s="25">
        <v>38779</v>
      </c>
      <c r="O21" s="24">
        <f t="shared" si="2"/>
        <v>12200</v>
      </c>
      <c r="P21" s="24">
        <f t="shared" si="3"/>
        <v>3231.5833333333335</v>
      </c>
      <c r="Q21" s="67">
        <v>1.38</v>
      </c>
      <c r="R21" s="84">
        <f>Q21</f>
        <v>1.38</v>
      </c>
      <c r="S21" s="23">
        <v>360</v>
      </c>
      <c r="T21" s="23"/>
      <c r="U21" s="95">
        <f t="shared" si="4"/>
        <v>0.24</v>
      </c>
      <c r="V21" s="95">
        <f t="shared" si="10"/>
        <v>2.2770000000000001</v>
      </c>
      <c r="W21" s="95">
        <f>Q21*1.1*$O$1*0.8</f>
        <v>1.8216000000000001</v>
      </c>
      <c r="X21" s="61">
        <f t="shared" si="5"/>
        <v>4.6083477815031935E-2</v>
      </c>
      <c r="Y21" s="34">
        <f t="shared" si="6"/>
        <v>2.6666666666666665</v>
      </c>
      <c r="Z21" s="95">
        <f>'restvärde o service'!$I$19*2/3</f>
        <v>2.1333333333333333</v>
      </c>
      <c r="AA21" s="35"/>
      <c r="AB21" s="24"/>
      <c r="AC21" s="23">
        <f>'restvärde o service'!$J$19+'restvärde o service'!$K$19</f>
        <v>0</v>
      </c>
      <c r="AD21" s="29">
        <f>Q21*1.1*0.338*0.04*$E$4/1000</f>
        <v>3.0785040000000003E-2</v>
      </c>
      <c r="AE21" s="30">
        <f t="shared" si="7"/>
        <v>59000</v>
      </c>
      <c r="AF21" s="31">
        <f t="shared" si="8"/>
        <v>39.528266666666674</v>
      </c>
      <c r="AG21" s="96">
        <f t="shared" si="9"/>
        <v>0</v>
      </c>
      <c r="AH21" s="57" t="str">
        <f t="shared" si="11"/>
        <v>Hyundai Ioniq 38 kWh, förmånsv. 3200 kr/mån brutto</v>
      </c>
      <c r="AI21" s="57">
        <v>15</v>
      </c>
      <c r="AJ21" s="57"/>
    </row>
    <row r="22" spans="1:37" x14ac:dyDescent="0.35">
      <c r="A22" s="6" t="s">
        <v>94</v>
      </c>
      <c r="B22" s="47" t="s">
        <v>70</v>
      </c>
      <c r="C22" s="93" t="s">
        <v>68</v>
      </c>
      <c r="D22" s="50" t="s">
        <v>114</v>
      </c>
      <c r="E22" s="33">
        <v>397000</v>
      </c>
      <c r="F22" s="40">
        <v>44137</v>
      </c>
      <c r="G22" s="92">
        <v>-70000</v>
      </c>
      <c r="H22" s="24">
        <f t="shared" si="0"/>
        <v>327000</v>
      </c>
      <c r="I22" s="23">
        <f>36*PMT(0.04/12*0.7,36,-H22,E22*'restvärde o service'!$F$19)</f>
        <v>174610.20228425576</v>
      </c>
      <c r="J22" s="24">
        <f>36*PMT(0.04/12,36,-H22*0.9,0.9*E22*'restvärde o service'!$F$19)</f>
        <v>165413.47882411978</v>
      </c>
      <c r="K22" s="76">
        <v>36</v>
      </c>
      <c r="L22" s="24">
        <f>ROUNDDOWN(J22/3,-3)</f>
        <v>55000</v>
      </c>
      <c r="M22" s="88">
        <f t="shared" si="1"/>
        <v>0.88709677419354838</v>
      </c>
      <c r="N22" s="25">
        <v>31498</v>
      </c>
      <c r="O22" s="24">
        <f t="shared" si="2"/>
        <v>9900</v>
      </c>
      <c r="P22" s="24">
        <f t="shared" si="3"/>
        <v>2624.8333333333335</v>
      </c>
      <c r="Q22" s="67">
        <v>1.5</v>
      </c>
      <c r="R22" s="84">
        <f>Q22</f>
        <v>1.5</v>
      </c>
      <c r="S22" s="24">
        <v>360</v>
      </c>
      <c r="T22" s="24"/>
      <c r="U22" s="95">
        <f t="shared" si="4"/>
        <v>0.24</v>
      </c>
      <c r="V22" s="95">
        <f t="shared" si="10"/>
        <v>2.4750000000000001</v>
      </c>
      <c r="W22" s="95">
        <f>Q22*1.1*$O$1*0.8</f>
        <v>1.9800000000000002</v>
      </c>
      <c r="X22" s="61">
        <f t="shared" si="5"/>
        <v>4.8269137006338378E-2</v>
      </c>
      <c r="Y22" s="34">
        <f t="shared" si="6"/>
        <v>2.6666666666666665</v>
      </c>
      <c r="Z22" s="95">
        <f>'restvärde o service'!$I$19*2/3</f>
        <v>2.1333333333333333</v>
      </c>
      <c r="AA22" s="24"/>
      <c r="AB22" s="36"/>
      <c r="AC22" s="23">
        <f>'restvärde o service'!$J$19+'restvärde o service'!$K$19</f>
        <v>0</v>
      </c>
      <c r="AD22" s="29">
        <f>Q22*1.1*0.338*0.04*$E$4/1000</f>
        <v>3.3462000000000013E-2</v>
      </c>
      <c r="AE22" s="30">
        <f t="shared" si="7"/>
        <v>62000</v>
      </c>
      <c r="AF22" s="31">
        <f t="shared" si="8"/>
        <v>41.019999999999996</v>
      </c>
      <c r="AG22" s="96">
        <f t="shared" si="9"/>
        <v>0</v>
      </c>
      <c r="AH22" s="57" t="str">
        <f t="shared" si="11"/>
        <v>Nissan Leaf 40 kWh, förmånsv. 2600 kr/mån brutto</v>
      </c>
      <c r="AI22" s="57">
        <v>16</v>
      </c>
      <c r="AJ22" s="57"/>
    </row>
    <row r="23" spans="1:37" x14ac:dyDescent="0.35">
      <c r="A23" s="6" t="s">
        <v>94</v>
      </c>
      <c r="B23" s="47" t="s">
        <v>70</v>
      </c>
      <c r="C23" s="93" t="s">
        <v>1</v>
      </c>
      <c r="D23" s="50" t="s">
        <v>138</v>
      </c>
      <c r="E23" s="33">
        <v>257200</v>
      </c>
      <c r="F23" s="39">
        <v>44139</v>
      </c>
      <c r="G23" s="92">
        <v>-10000</v>
      </c>
      <c r="H23" s="24">
        <f t="shared" si="0"/>
        <v>247200</v>
      </c>
      <c r="I23" s="23">
        <f>36*PMT(0.04/12*0.7,36,-H23,E23*'restvärde o service'!$F$19)</f>
        <v>150019.59717982649</v>
      </c>
      <c r="J23" s="24">
        <f>36*PMT(0.04/12,36,-H23*0.9,0.9*E23*'restvärde o service'!$F$19)</f>
        <v>140979.72285781219</v>
      </c>
      <c r="K23" s="76">
        <v>36</v>
      </c>
      <c r="L23" s="24">
        <f>ROUNDDOWN(J23/3,-3)</f>
        <v>46000</v>
      </c>
      <c r="M23" s="88">
        <f t="shared" si="1"/>
        <v>0.74193548387096775</v>
      </c>
      <c r="N23" s="25">
        <v>35660</v>
      </c>
      <c r="O23" s="24">
        <f t="shared" si="2"/>
        <v>11200</v>
      </c>
      <c r="P23" s="24">
        <f t="shared" si="3"/>
        <v>2971.6666666666665</v>
      </c>
      <c r="Q23" s="67">
        <f>AB23/275</f>
        <v>0.39636363636363636</v>
      </c>
      <c r="R23" s="84">
        <f>Q23*13</f>
        <v>5.1527272727272724</v>
      </c>
      <c r="S23" s="23">
        <v>360</v>
      </c>
      <c r="T23" s="23"/>
      <c r="U23" s="95">
        <f t="shared" si="4"/>
        <v>0.24</v>
      </c>
      <c r="V23" s="95">
        <f t="shared" si="10"/>
        <v>8.7200000000000006</v>
      </c>
      <c r="W23" s="95">
        <f>R23/13*1.1*$O$2*0.8</f>
        <v>6.9760000000000009</v>
      </c>
      <c r="X23" s="61">
        <f t="shared" si="5"/>
        <v>0.16980397247825524</v>
      </c>
      <c r="Y23" s="34">
        <f t="shared" si="6"/>
        <v>4</v>
      </c>
      <c r="Z23" s="95">
        <f>'restvärde o service'!$I$19</f>
        <v>3.2</v>
      </c>
      <c r="AA23" s="91"/>
      <c r="AB23" s="36">
        <v>109</v>
      </c>
      <c r="AC23" s="23">
        <f>'restvärde o service'!$J$19+'restvärde o service'!$K$19</f>
        <v>0</v>
      </c>
      <c r="AD23" s="37">
        <f>Q23*1.1*0.338*0.2*13*$E$4/1000</f>
        <v>0.57473520000000011</v>
      </c>
      <c r="AE23" s="30">
        <f t="shared" si="7"/>
        <v>62000</v>
      </c>
      <c r="AF23" s="31">
        <f t="shared" si="8"/>
        <v>41.082666666666668</v>
      </c>
      <c r="AG23" s="96">
        <f t="shared" si="9"/>
        <v>0</v>
      </c>
      <c r="AH23" s="57" t="str">
        <f t="shared" si="11"/>
        <v>Skoda Scala G-tec 90 Style man (biogas), förmånsv. 3000 kr/mån brutto</v>
      </c>
      <c r="AI23" s="57">
        <v>17</v>
      </c>
      <c r="AJ23" s="57"/>
    </row>
    <row r="24" spans="1:37" x14ac:dyDescent="0.35">
      <c r="A24" s="6" t="s">
        <v>94</v>
      </c>
      <c r="B24" s="47" t="s">
        <v>70</v>
      </c>
      <c r="C24" s="93" t="s">
        <v>1</v>
      </c>
      <c r="D24" s="70" t="s">
        <v>139</v>
      </c>
      <c r="E24" s="33">
        <v>263900</v>
      </c>
      <c r="F24" s="39">
        <v>44313</v>
      </c>
      <c r="G24" s="92">
        <v>-10000</v>
      </c>
      <c r="H24" s="24">
        <f t="shared" si="0"/>
        <v>253900</v>
      </c>
      <c r="I24" s="23">
        <f>36*PMT(0.04/12*0.7,36,-H24,E24*'restvärde o service'!$F$19)</f>
        <v>154199.46803092337</v>
      </c>
      <c r="J24" s="24">
        <f>36*PMT(0.04/12,36,-H24*0.9,0.9*E24*'restvärde o service'!$F$19)</f>
        <v>144901.39785703536</v>
      </c>
      <c r="K24" s="76">
        <v>36</v>
      </c>
      <c r="L24" s="24">
        <f>ROUNDDOWN(J24/3,-3)</f>
        <v>48000</v>
      </c>
      <c r="M24" s="88">
        <f t="shared" si="1"/>
        <v>0.75</v>
      </c>
      <c r="N24" s="25">
        <v>34800</v>
      </c>
      <c r="O24" s="24">
        <f t="shared" si="2"/>
        <v>10900</v>
      </c>
      <c r="P24" s="24">
        <f t="shared" si="3"/>
        <v>2900</v>
      </c>
      <c r="Q24" s="67">
        <f>AB24/275</f>
        <v>0.4</v>
      </c>
      <c r="R24" s="84">
        <f>Q24*13</f>
        <v>5.2</v>
      </c>
      <c r="S24" s="24">
        <f>IF(((AB24-111)*11+360)&lt;360,360,((AB24-111)*11+360))</f>
        <v>360</v>
      </c>
      <c r="T24" s="24"/>
      <c r="U24" s="95">
        <f t="shared" si="4"/>
        <v>0.24</v>
      </c>
      <c r="V24" s="95">
        <f t="shared" si="10"/>
        <v>8.8000000000000007</v>
      </c>
      <c r="W24" s="95">
        <f>R24/13*1.1*$O$2*0.8</f>
        <v>7.0400000000000009</v>
      </c>
      <c r="X24" s="61">
        <f t="shared" si="5"/>
        <v>0.16572504708097929</v>
      </c>
      <c r="Y24" s="34">
        <f t="shared" si="6"/>
        <v>4</v>
      </c>
      <c r="Z24" s="95">
        <f>'restvärde o service'!$I$19</f>
        <v>3.2</v>
      </c>
      <c r="AA24" s="91"/>
      <c r="AB24" s="36">
        <v>110</v>
      </c>
      <c r="AC24" s="23">
        <f>'restvärde o service'!$J$19+'restvärde o service'!$K$19</f>
        <v>0</v>
      </c>
      <c r="AD24" s="37">
        <f>Q24*1.1*0.338*0.2*13*$E$4/1000</f>
        <v>0.58000800000000019</v>
      </c>
      <c r="AE24" s="30">
        <f t="shared" si="7"/>
        <v>64000</v>
      </c>
      <c r="AF24" s="31">
        <f t="shared" si="8"/>
        <v>42.480000000000004</v>
      </c>
      <c r="AG24" s="96">
        <f t="shared" si="9"/>
        <v>0</v>
      </c>
      <c r="AH24" s="57" t="str">
        <f t="shared" si="11"/>
        <v>SEAT Leon ST 1.5 TGI 130 DSG7 Style biogas, förmånsv. 2900 kr/mån brutto</v>
      </c>
      <c r="AI24" s="57">
        <v>18</v>
      </c>
      <c r="AJ24" s="57"/>
    </row>
    <row r="25" spans="1:37" x14ac:dyDescent="0.35">
      <c r="B25" s="47" t="s">
        <v>71</v>
      </c>
      <c r="C25" s="47" t="s">
        <v>68</v>
      </c>
      <c r="D25" s="50" t="s">
        <v>127</v>
      </c>
      <c r="E25" s="25">
        <f>370000/0.8</f>
        <v>462500</v>
      </c>
      <c r="F25" s="39">
        <v>44246</v>
      </c>
      <c r="G25" s="92">
        <v>-70000</v>
      </c>
      <c r="H25" s="24">
        <f t="shared" si="0"/>
        <v>392500</v>
      </c>
      <c r="I25" s="23">
        <f>60*PMT(0.04/12*0.7,60,-H25,E25*'restvärde o service'!$F$19)</f>
        <v>232327.20097755553</v>
      </c>
      <c r="J25" s="24">
        <f>60*PMT(0.04/12,60,-H25*0.9,0.9*E25*'restvärde o service'!$G$19)</f>
        <v>277327.39346228726</v>
      </c>
      <c r="K25" s="76">
        <v>60</v>
      </c>
      <c r="L25" s="24">
        <f>ROUNDDOWN(J25/5,-3)</f>
        <v>55000</v>
      </c>
      <c r="M25" s="88">
        <f t="shared" si="1"/>
        <v>0.859375</v>
      </c>
      <c r="N25" s="25">
        <v>46376</v>
      </c>
      <c r="O25" s="24">
        <f t="shared" si="2"/>
        <v>14600</v>
      </c>
      <c r="P25" s="24">
        <f t="shared" si="3"/>
        <v>3864.6666666666665</v>
      </c>
      <c r="Q25" s="67">
        <v>2.61</v>
      </c>
      <c r="R25" s="84">
        <f>Q25</f>
        <v>2.61</v>
      </c>
      <c r="S25" s="24">
        <v>360</v>
      </c>
      <c r="T25" s="24"/>
      <c r="U25" s="95">
        <f t="shared" si="4"/>
        <v>0.24</v>
      </c>
      <c r="V25" s="95">
        <f t="shared" si="10"/>
        <v>4.3064999999999998</v>
      </c>
      <c r="W25" s="95">
        <f>Q25*1.1*$O$1*0.8</f>
        <v>3.4451999999999998</v>
      </c>
      <c r="X25" s="61">
        <f t="shared" si="5"/>
        <v>8.1091768427593608E-2</v>
      </c>
      <c r="Y25" s="34">
        <f t="shared" si="6"/>
        <v>2.6666666666666665</v>
      </c>
      <c r="Z25" s="95">
        <f>'restvärde o service'!$I$19*2/3</f>
        <v>2.1333333333333333</v>
      </c>
      <c r="AA25" s="35"/>
      <c r="AB25" s="24"/>
      <c r="AC25" s="23">
        <f>'restvärde o service'!$J$19+'restvärde o service'!$K$19</f>
        <v>0</v>
      </c>
      <c r="AD25" s="29">
        <f>Q25*1.1*0.338*0.04*$E$4/1000</f>
        <v>5.8223880000000006E-2</v>
      </c>
      <c r="AE25" s="30">
        <f t="shared" si="7"/>
        <v>64000</v>
      </c>
      <c r="AF25" s="31">
        <f t="shared" si="8"/>
        <v>42.485199999999999</v>
      </c>
      <c r="AG25" s="96">
        <f t="shared" si="9"/>
        <v>0</v>
      </c>
      <c r="AH25" s="57" t="str">
        <f t="shared" si="11"/>
        <v xml:space="preserve">Citroen e-Jumpy L2 50 kWh, förmånsv. 3900 kr/mån brutto </v>
      </c>
      <c r="AI25" s="57">
        <v>19</v>
      </c>
      <c r="AJ25" s="58"/>
    </row>
    <row r="26" spans="1:37" x14ac:dyDescent="0.35">
      <c r="A26" s="6" t="s">
        <v>94</v>
      </c>
      <c r="B26" s="47" t="s">
        <v>71</v>
      </c>
      <c r="C26" s="47" t="s">
        <v>68</v>
      </c>
      <c r="D26" s="50" t="s">
        <v>128</v>
      </c>
      <c r="E26" s="33">
        <f>375000/0.8</f>
        <v>468750</v>
      </c>
      <c r="F26" s="39">
        <v>44246</v>
      </c>
      <c r="G26" s="92">
        <v>-70000</v>
      </c>
      <c r="H26" s="24">
        <f t="shared" si="0"/>
        <v>398750</v>
      </c>
      <c r="I26" s="23">
        <f>60*PMT(0.04/12*0.7,60,-H26,E26*'restvärde o service'!$F$19)</f>
        <v>236481.56582718165</v>
      </c>
      <c r="J26" s="24">
        <f>60*PMT(0.04/12,60,-H26*0.9,0.9*E26*'restvärde o service'!$G$19)</f>
        <v>282015.79679784388</v>
      </c>
      <c r="K26" s="76">
        <v>60</v>
      </c>
      <c r="L26" s="24">
        <f>ROUNDDOWN(J26/5,-3)</f>
        <v>56000</v>
      </c>
      <c r="M26" s="88">
        <f t="shared" si="1"/>
        <v>0.86153846153846159</v>
      </c>
      <c r="N26" s="25">
        <v>41098</v>
      </c>
      <c r="O26" s="24">
        <f t="shared" si="2"/>
        <v>12900</v>
      </c>
      <c r="P26" s="24">
        <f t="shared" si="3"/>
        <v>3424.8333333333335</v>
      </c>
      <c r="Q26" s="67">
        <v>2.61</v>
      </c>
      <c r="R26" s="84">
        <f>Q26</f>
        <v>2.61</v>
      </c>
      <c r="S26" s="24">
        <v>360</v>
      </c>
      <c r="T26" s="24"/>
      <c r="U26" s="95">
        <f t="shared" si="4"/>
        <v>0.24</v>
      </c>
      <c r="V26" s="95">
        <f t="shared" si="10"/>
        <v>4.3064999999999998</v>
      </c>
      <c r="W26" s="95">
        <f>Q26*1.1*$O$1*0.8</f>
        <v>3.4451999999999998</v>
      </c>
      <c r="X26" s="61">
        <f t="shared" si="5"/>
        <v>7.983895636805205E-2</v>
      </c>
      <c r="Y26" s="34">
        <f t="shared" si="6"/>
        <v>2.6666666666666665</v>
      </c>
      <c r="Z26" s="95">
        <f>'restvärde o service'!$I$19*2/3</f>
        <v>2.1333333333333333</v>
      </c>
      <c r="AA26" s="35"/>
      <c r="AB26" s="24"/>
      <c r="AC26" s="23">
        <f>'restvärde o service'!$J$19+'restvärde o service'!$K$19</f>
        <v>0</v>
      </c>
      <c r="AD26" s="29">
        <f>Q26*1.1*0.338*0.04*$E$4/1000</f>
        <v>5.8223880000000006E-2</v>
      </c>
      <c r="AE26" s="30">
        <f t="shared" si="7"/>
        <v>65000</v>
      </c>
      <c r="AF26" s="31">
        <f t="shared" si="8"/>
        <v>43.15186666666667</v>
      </c>
      <c r="AG26" s="96">
        <f t="shared" si="9"/>
        <v>0</v>
      </c>
      <c r="AH26" s="57" t="str">
        <f t="shared" si="11"/>
        <v xml:space="preserve">Opel e-Vivaro L2 50 kWh, förmånsv. 3400 kr/mån brutto </v>
      </c>
      <c r="AI26" s="57">
        <v>20</v>
      </c>
      <c r="AJ26" s="58"/>
    </row>
    <row r="27" spans="1:37" s="7" customFormat="1" x14ac:dyDescent="0.35">
      <c r="A27" s="6"/>
      <c r="B27" s="47" t="s">
        <v>71</v>
      </c>
      <c r="C27" s="47" t="s">
        <v>68</v>
      </c>
      <c r="D27" s="50" t="s">
        <v>129</v>
      </c>
      <c r="E27" s="25">
        <f>375000/0.8</f>
        <v>468750</v>
      </c>
      <c r="F27" s="39">
        <v>44246</v>
      </c>
      <c r="G27" s="92">
        <v>-70000</v>
      </c>
      <c r="H27" s="24">
        <f t="shared" si="0"/>
        <v>398750</v>
      </c>
      <c r="I27" s="23">
        <f>60*PMT(0.04/12*0.7,60,-H27,E27*'restvärde o service'!$F$19)</f>
        <v>236481.56582718165</v>
      </c>
      <c r="J27" s="24">
        <f>60*PMT(0.04/12,60,-H27*0.9,0.9*E27*'restvärde o service'!$G$19)</f>
        <v>282015.79679784388</v>
      </c>
      <c r="K27" s="76">
        <v>60</v>
      </c>
      <c r="L27" s="24">
        <f>ROUNDDOWN(J27/5,-3)</f>
        <v>56000</v>
      </c>
      <c r="M27" s="88">
        <f t="shared" si="1"/>
        <v>0.86153846153846159</v>
      </c>
      <c r="N27" s="25">
        <v>40160</v>
      </c>
      <c r="O27" s="24">
        <f t="shared" si="2"/>
        <v>12600</v>
      </c>
      <c r="P27" s="24">
        <f t="shared" si="3"/>
        <v>3346.6666666666665</v>
      </c>
      <c r="Q27" s="67">
        <v>2.61</v>
      </c>
      <c r="R27" s="84">
        <f>Q27</f>
        <v>2.61</v>
      </c>
      <c r="S27" s="24">
        <v>360</v>
      </c>
      <c r="T27" s="24"/>
      <c r="U27" s="95">
        <f t="shared" si="4"/>
        <v>0.24</v>
      </c>
      <c r="V27" s="95">
        <f t="shared" si="10"/>
        <v>4.3064999999999998</v>
      </c>
      <c r="W27" s="95">
        <f>Q27*1.1*$O$1*0.8</f>
        <v>3.4451999999999998</v>
      </c>
      <c r="X27" s="61">
        <f t="shared" si="5"/>
        <v>7.983895636805205E-2</v>
      </c>
      <c r="Y27" s="34">
        <f t="shared" si="6"/>
        <v>2.6666666666666665</v>
      </c>
      <c r="Z27" s="95">
        <f>'restvärde o service'!$I$19*2/3</f>
        <v>2.1333333333333333</v>
      </c>
      <c r="AA27" s="35"/>
      <c r="AB27" s="24"/>
      <c r="AC27" s="23">
        <f>'restvärde o service'!$J$19+'restvärde o service'!$K$19</f>
        <v>0</v>
      </c>
      <c r="AD27" s="29">
        <f>Q27*1.1*0.338*0.04*$E$4/1000</f>
        <v>5.8223880000000006E-2</v>
      </c>
      <c r="AE27" s="30">
        <f t="shared" si="7"/>
        <v>65000</v>
      </c>
      <c r="AF27" s="31">
        <f t="shared" si="8"/>
        <v>43.15186666666667</v>
      </c>
      <c r="AG27" s="96">
        <f t="shared" si="9"/>
        <v>0</v>
      </c>
      <c r="AH27" s="57" t="str">
        <f t="shared" si="11"/>
        <v xml:space="preserve">Peugeot e-Expert L2 50 kWh, förmånsv. 3300 kr/mån brutto </v>
      </c>
      <c r="AI27" s="57">
        <v>21</v>
      </c>
      <c r="AJ27" s="58"/>
    </row>
    <row r="28" spans="1:37" x14ac:dyDescent="0.35">
      <c r="B28" s="47" t="s">
        <v>71</v>
      </c>
      <c r="C28" s="47" t="s">
        <v>68</v>
      </c>
      <c r="D28" s="50" t="s">
        <v>130</v>
      </c>
      <c r="E28" s="33">
        <f>375500/0.8</f>
        <v>469375</v>
      </c>
      <c r="F28" s="39">
        <v>44246</v>
      </c>
      <c r="G28" s="92">
        <v>-70000</v>
      </c>
      <c r="H28" s="24">
        <f t="shared" si="0"/>
        <v>399375</v>
      </c>
      <c r="I28" s="23">
        <f>60*PMT(0.04/12*0.7,60,-H28,E28*'restvärde o service'!$F$19)</f>
        <v>236897.00231214426</v>
      </c>
      <c r="J28" s="24">
        <f>60*PMT(0.04/12,60,-H28*0.9,0.9*E28*'restvärde o service'!$G$19)</f>
        <v>282484.63713139959</v>
      </c>
      <c r="K28" s="76">
        <v>60</v>
      </c>
      <c r="L28" s="24">
        <f>ROUNDDOWN(J28/5,-3)</f>
        <v>56000</v>
      </c>
      <c r="M28" s="88">
        <f t="shared" si="1"/>
        <v>0.86153846153846159</v>
      </c>
      <c r="N28" s="25">
        <v>31957</v>
      </c>
      <c r="O28" s="24">
        <f t="shared" si="2"/>
        <v>10000</v>
      </c>
      <c r="P28" s="24">
        <f t="shared" si="3"/>
        <v>2663.0833333333335</v>
      </c>
      <c r="Q28" s="67">
        <v>2.75</v>
      </c>
      <c r="R28" s="84">
        <f>Q28</f>
        <v>2.75</v>
      </c>
      <c r="S28" s="24">
        <v>360</v>
      </c>
      <c r="T28" s="24"/>
      <c r="U28" s="95">
        <f t="shared" si="4"/>
        <v>0.24</v>
      </c>
      <c r="V28" s="95">
        <f t="shared" si="10"/>
        <v>4.5375000000000005</v>
      </c>
      <c r="W28" s="95">
        <f>Q28*1.1*$O$1*0.8</f>
        <v>3.6300000000000008</v>
      </c>
      <c r="X28" s="61">
        <f t="shared" si="5"/>
        <v>8.3762787477886319E-2</v>
      </c>
      <c r="Y28" s="34">
        <f t="shared" si="6"/>
        <v>2.6666666666666665</v>
      </c>
      <c r="Z28" s="95">
        <f>'restvärde o service'!$I$19*2/3</f>
        <v>2.1333333333333333</v>
      </c>
      <c r="AA28" s="35"/>
      <c r="AB28" s="24"/>
      <c r="AC28" s="23">
        <f>'restvärde o service'!$J$19+'restvärde o service'!$K$19</f>
        <v>0</v>
      </c>
      <c r="AD28" s="29">
        <f>Q28*1.1*0.338*0.04*$E$4/1000</f>
        <v>6.1347000000000006E-2</v>
      </c>
      <c r="AE28" s="30">
        <f t="shared" si="7"/>
        <v>65000</v>
      </c>
      <c r="AF28" s="31">
        <f t="shared" si="8"/>
        <v>43.336666666666673</v>
      </c>
      <c r="AG28" s="96">
        <f t="shared" si="9"/>
        <v>0</v>
      </c>
      <c r="AH28" s="57" t="str">
        <f t="shared" si="11"/>
        <v xml:space="preserve">Maxus e-Deliver 3, 6,3 kbm 52 kWh, förmånsv. 2700 kr/mån brutto </v>
      </c>
      <c r="AI28" s="57">
        <v>22</v>
      </c>
      <c r="AJ28" s="58"/>
      <c r="AK28" s="83"/>
    </row>
    <row r="29" spans="1:37" x14ac:dyDescent="0.35">
      <c r="A29" s="6" t="s">
        <v>94</v>
      </c>
      <c r="B29" s="47" t="s">
        <v>71</v>
      </c>
      <c r="C29" s="47" t="s">
        <v>68</v>
      </c>
      <c r="D29" s="50" t="s">
        <v>169</v>
      </c>
      <c r="E29" s="33">
        <f>393000/0.8</f>
        <v>491250</v>
      </c>
      <c r="F29" s="39">
        <v>44246</v>
      </c>
      <c r="G29" s="92">
        <v>-70000</v>
      </c>
      <c r="H29" s="24">
        <f t="shared" si="0"/>
        <v>421250</v>
      </c>
      <c r="I29" s="23">
        <f>60*PMT(0.04/12*0.7,60,-H29,E29*'restvärde o service'!$F$19)</f>
        <v>251437.27928583571</v>
      </c>
      <c r="J29" s="24">
        <f>60*PMT(0.04/12,60,-H29*0.9,0.9*E29*'restvärde o service'!$G$19)</f>
        <v>298894.04880584794</v>
      </c>
      <c r="K29" s="76">
        <v>60</v>
      </c>
      <c r="L29" s="24">
        <f>ROUNDDOWN(J29/5,-3)</f>
        <v>59000</v>
      </c>
      <c r="M29" s="88">
        <f t="shared" si="1"/>
        <v>0.86764705882352944</v>
      </c>
      <c r="N29" s="25">
        <v>74986</v>
      </c>
      <c r="O29" s="24">
        <f t="shared" si="2"/>
        <v>23600</v>
      </c>
      <c r="P29" s="24">
        <f t="shared" si="3"/>
        <v>6248.833333333333</v>
      </c>
      <c r="Q29" s="67">
        <v>2.8</v>
      </c>
      <c r="R29" s="84">
        <f>Q29</f>
        <v>2.8</v>
      </c>
      <c r="S29" s="24">
        <v>360</v>
      </c>
      <c r="T29" s="23"/>
      <c r="U29" s="95">
        <f t="shared" si="4"/>
        <v>0.24</v>
      </c>
      <c r="V29" s="95">
        <f t="shared" si="10"/>
        <v>4.62</v>
      </c>
      <c r="W29" s="95">
        <f>Q29*1.1*$O$1*0.8</f>
        <v>3.6960000000000002</v>
      </c>
      <c r="X29" s="61">
        <f t="shared" si="5"/>
        <v>8.1404910137436864E-2</v>
      </c>
      <c r="Y29" s="34">
        <f t="shared" si="6"/>
        <v>2.6666666666666665</v>
      </c>
      <c r="Z29" s="95">
        <f>'restvärde o service'!$I$19*2/3</f>
        <v>2.1333333333333333</v>
      </c>
      <c r="AA29" s="35"/>
      <c r="AB29" s="24"/>
      <c r="AC29" s="23">
        <f>'restvärde o service'!$J$19+'restvärde o service'!$K$19</f>
        <v>0</v>
      </c>
      <c r="AD29" s="29">
        <f>Q29*1.1*0.338*0.04*$E$4/1000</f>
        <v>6.2462400000000008E-2</v>
      </c>
      <c r="AE29" s="30">
        <f t="shared" si="7"/>
        <v>68000</v>
      </c>
      <c r="AF29" s="31">
        <f t="shared" si="8"/>
        <v>45.402666666666669</v>
      </c>
      <c r="AG29" s="96">
        <f t="shared" si="9"/>
        <v>0</v>
      </c>
      <c r="AH29" s="57" t="str">
        <f t="shared" si="11"/>
        <v>VW ABT e-Caddy Maxi, förmånsv. 6 249 kr/mån</v>
      </c>
      <c r="AI29" s="57">
        <v>23</v>
      </c>
      <c r="AJ29" s="62" t="s">
        <v>57</v>
      </c>
      <c r="AK29" s="83"/>
    </row>
    <row r="30" spans="1:37" x14ac:dyDescent="0.35">
      <c r="B30" s="47" t="s">
        <v>70</v>
      </c>
      <c r="C30" s="93" t="s">
        <v>69</v>
      </c>
      <c r="D30" s="50" t="s">
        <v>146</v>
      </c>
      <c r="E30" s="33">
        <v>341900</v>
      </c>
      <c r="F30" s="39">
        <v>44224</v>
      </c>
      <c r="G30" s="92">
        <f>-(45000-(583.33*AB30))</f>
        <v>-28083.43</v>
      </c>
      <c r="H30" s="24">
        <f t="shared" si="0"/>
        <v>313816.57</v>
      </c>
      <c r="I30" s="23">
        <f>36*PMT(0.04/12*0.7,36,-H30,E30*'restvärde o service'!$F$19)</f>
        <v>183986.0084485086</v>
      </c>
      <c r="J30" s="24">
        <f>36*PMT(0.04/12,36,-H30*0.9,0.9*E30*'restvärde o service'!$F$19)</f>
        <v>173258.52345888322</v>
      </c>
      <c r="K30" s="76">
        <v>36</v>
      </c>
      <c r="L30" s="24">
        <f t="shared" ref="L30:L45" si="12">ROUNDDOWN(J30/3,-3)</f>
        <v>57000</v>
      </c>
      <c r="M30" s="88">
        <f t="shared" si="1"/>
        <v>0.82608695652173914</v>
      </c>
      <c r="N30" s="24">
        <v>35400</v>
      </c>
      <c r="O30" s="24">
        <f t="shared" si="2"/>
        <v>11100</v>
      </c>
      <c r="P30" s="24">
        <f t="shared" si="3"/>
        <v>2950</v>
      </c>
      <c r="Q30" s="67"/>
      <c r="R30" s="85">
        <f>(0.5*9*(1-$H$3))+($H$3*1.75)</f>
        <v>3.125</v>
      </c>
      <c r="S30" s="24">
        <v>360</v>
      </c>
      <c r="T30" s="23"/>
      <c r="U30" s="95">
        <f t="shared" si="4"/>
        <v>0.24</v>
      </c>
      <c r="V30" s="95">
        <f t="shared" si="10"/>
        <v>5.4375</v>
      </c>
      <c r="W30" s="95">
        <f>0.8*((0.5*$O$5*(1-$H$3))+(($H$3*1.75)*$O$1))</f>
        <v>4.3500000000000005</v>
      </c>
      <c r="X30" s="61">
        <f t="shared" si="5"/>
        <v>9.4998908058528064E-2</v>
      </c>
      <c r="Y30" s="34">
        <f t="shared" si="6"/>
        <v>4</v>
      </c>
      <c r="Z30" s="95">
        <f>'restvärde o service'!$I$19</f>
        <v>3.2</v>
      </c>
      <c r="AA30" s="35"/>
      <c r="AB30" s="36">
        <v>29</v>
      </c>
      <c r="AC30" s="23">
        <f>'restvärde o service'!$J$19+'restvärde o service'!$K$19</f>
        <v>0</v>
      </c>
      <c r="AD30" s="37">
        <f>(R30-($H$3*1.75))*$E$4*0.338/1000</f>
        <v>1.1407499999999999</v>
      </c>
      <c r="AE30" s="30">
        <f t="shared" si="7"/>
        <v>69000</v>
      </c>
      <c r="AF30" s="31">
        <f t="shared" si="8"/>
        <v>45.790000000000006</v>
      </c>
      <c r="AG30" s="96">
        <f t="shared" si="9"/>
        <v>0</v>
      </c>
      <c r="AH30" s="59" t="str">
        <f t="shared" si="11"/>
        <v>Kia Ceed SW PHEV laddhybrid, förmånsv. 2950 kr/mån brutto</v>
      </c>
      <c r="AI30" s="57">
        <v>24</v>
      </c>
      <c r="AJ30" s="57"/>
    </row>
    <row r="31" spans="1:37" x14ac:dyDescent="0.35">
      <c r="A31" s="6" t="s">
        <v>94</v>
      </c>
      <c r="B31" s="47" t="s">
        <v>70</v>
      </c>
      <c r="C31" s="93" t="s">
        <v>68</v>
      </c>
      <c r="D31" s="52" t="s">
        <v>115</v>
      </c>
      <c r="E31" s="33">
        <v>435000</v>
      </c>
      <c r="F31" s="39">
        <v>44139</v>
      </c>
      <c r="G31" s="92">
        <v>-70000</v>
      </c>
      <c r="H31" s="24">
        <f t="shared" si="0"/>
        <v>365000</v>
      </c>
      <c r="I31" s="23">
        <f>36*PMT(0.04/12*0.7,36,-H31,E31*'restvärde o service'!$F$19)</f>
        <v>198316.93248450669</v>
      </c>
      <c r="J31" s="24">
        <f>36*PMT(0.04/12,36,-H31*0.9,0.9*E31*'restvärde o service'!$F$19)</f>
        <v>187655.81464060934</v>
      </c>
      <c r="K31" s="76">
        <v>36</v>
      </c>
      <c r="L31" s="24">
        <f t="shared" si="12"/>
        <v>62000</v>
      </c>
      <c r="M31" s="88">
        <f t="shared" si="1"/>
        <v>0.89855072463768115</v>
      </c>
      <c r="N31" s="25">
        <v>38810</v>
      </c>
      <c r="O31" s="24">
        <f t="shared" si="2"/>
        <v>12200</v>
      </c>
      <c r="P31" s="24">
        <f t="shared" si="3"/>
        <v>3234.1666666666665</v>
      </c>
      <c r="Q31" s="67">
        <v>1.56</v>
      </c>
      <c r="R31" s="84">
        <f>Q31</f>
        <v>1.56</v>
      </c>
      <c r="S31" s="24">
        <v>360</v>
      </c>
      <c r="T31" s="24"/>
      <c r="U31" s="95">
        <f t="shared" si="4"/>
        <v>0.24</v>
      </c>
      <c r="V31" s="95">
        <f t="shared" si="10"/>
        <v>2.5739999999999998</v>
      </c>
      <c r="W31" s="95">
        <f>Q31*1.1*$O$1*0.8</f>
        <v>2.0592000000000001</v>
      </c>
      <c r="X31" s="61">
        <f t="shared" si="5"/>
        <v>4.499423150878093E-2</v>
      </c>
      <c r="Y31" s="34">
        <f t="shared" si="6"/>
        <v>2.6666666666666665</v>
      </c>
      <c r="Z31" s="95">
        <f>'restvärde o service'!$I$19*2/3</f>
        <v>2.1333333333333333</v>
      </c>
      <c r="AA31" s="35"/>
      <c r="AB31" s="24"/>
      <c r="AC31" s="23">
        <f>'restvärde o service'!$J$19+'restvärde o service'!$K$19</f>
        <v>0</v>
      </c>
      <c r="AD31" s="29">
        <f>Q31*1.1*0.338*0.04*$E$4/1000</f>
        <v>3.4800480000000009E-2</v>
      </c>
      <c r="AE31" s="30">
        <f t="shared" si="7"/>
        <v>69000</v>
      </c>
      <c r="AF31" s="31">
        <f t="shared" si="8"/>
        <v>45.765866666666668</v>
      </c>
      <c r="AG31" s="96">
        <f t="shared" si="9"/>
        <v>0</v>
      </c>
      <c r="AH31" s="57" t="str">
        <f t="shared" si="11"/>
        <v>VW ID.3 Life 58 kWh, förmånsv. 3200 kr/mån brutto</v>
      </c>
      <c r="AI31" s="57">
        <v>25</v>
      </c>
      <c r="AJ31" s="57" t="s">
        <v>106</v>
      </c>
    </row>
    <row r="32" spans="1:37" x14ac:dyDescent="0.35">
      <c r="B32" s="47" t="s">
        <v>70</v>
      </c>
      <c r="C32" s="93" t="s">
        <v>1</v>
      </c>
      <c r="D32" s="51" t="s">
        <v>140</v>
      </c>
      <c r="E32" s="33">
        <v>293500</v>
      </c>
      <c r="F32" s="39">
        <v>44222</v>
      </c>
      <c r="G32" s="92">
        <v>-10000</v>
      </c>
      <c r="H32" s="24">
        <f t="shared" si="0"/>
        <v>283500</v>
      </c>
      <c r="I32" s="23">
        <f>36*PMT(0.04/12*0.7,36,-H32,E32*'restvärde o service'!$F$19)</f>
        <v>172665.76313427673</v>
      </c>
      <c r="J32" s="24">
        <f>36*PMT(0.04/12,36,-H32*0.9,0.9*E32*'restvärde o service'!$F$19)</f>
        <v>162227.00680882728</v>
      </c>
      <c r="K32" s="76">
        <v>36</v>
      </c>
      <c r="L32" s="24">
        <f t="shared" si="12"/>
        <v>54000</v>
      </c>
      <c r="M32" s="88">
        <f t="shared" si="1"/>
        <v>0.77142857142857146</v>
      </c>
      <c r="N32" s="25">
        <v>37826</v>
      </c>
      <c r="O32" s="24">
        <f t="shared" si="2"/>
        <v>11900</v>
      </c>
      <c r="P32" s="24">
        <f t="shared" si="3"/>
        <v>3152.1666666666665</v>
      </c>
      <c r="Q32" s="67">
        <f>AB32/275</f>
        <v>0.40363636363636363</v>
      </c>
      <c r="R32" s="84">
        <f>Q32*13</f>
        <v>5.2472727272727271</v>
      </c>
      <c r="S32" s="23">
        <f>(AB32-111)*11+360</f>
        <v>360</v>
      </c>
      <c r="T32" s="23"/>
      <c r="U32" s="95">
        <f t="shared" si="4"/>
        <v>0.24</v>
      </c>
      <c r="V32" s="95">
        <f t="shared" si="10"/>
        <v>8.8800000000000008</v>
      </c>
      <c r="W32" s="95">
        <f>R32/13*1.1*$O$2*0.8</f>
        <v>7.104000000000001</v>
      </c>
      <c r="X32" s="61">
        <f t="shared" si="5"/>
        <v>0.15262976968030251</v>
      </c>
      <c r="Y32" s="34">
        <f t="shared" si="6"/>
        <v>4</v>
      </c>
      <c r="Z32" s="95">
        <f>'restvärde o service'!$I$19</f>
        <v>3.2</v>
      </c>
      <c r="AA32" s="91"/>
      <c r="AB32" s="36">
        <v>111</v>
      </c>
      <c r="AC32" s="23">
        <f>'restvärde o service'!$J$19+'restvärde o service'!$K$19</f>
        <v>0</v>
      </c>
      <c r="AD32" s="37">
        <f>Q32*1.1*0.338*0.2*13*$E$4/1000</f>
        <v>0.58528080000000016</v>
      </c>
      <c r="AE32" s="30">
        <f t="shared" si="7"/>
        <v>70000</v>
      </c>
      <c r="AF32" s="31">
        <f t="shared" si="8"/>
        <v>46.544000000000004</v>
      </c>
      <c r="AG32" s="96">
        <f t="shared" si="9"/>
        <v>0</v>
      </c>
      <c r="AH32" s="57" t="str">
        <f t="shared" si="11"/>
        <v>VW Golf TGI 130 5d DSG biogas, förmånsv. 3150 kr/mån brutto</v>
      </c>
      <c r="AI32" s="57">
        <v>26</v>
      </c>
      <c r="AJ32" s="57" t="s">
        <v>160</v>
      </c>
    </row>
    <row r="33" spans="1:36" x14ac:dyDescent="0.35">
      <c r="B33" s="47" t="s">
        <v>70</v>
      </c>
      <c r="C33" s="47" t="s">
        <v>68</v>
      </c>
      <c r="D33" s="50" t="s">
        <v>116</v>
      </c>
      <c r="E33" s="33">
        <f>346145/0.8</f>
        <v>432681.25</v>
      </c>
      <c r="F33" s="39">
        <v>44247</v>
      </c>
      <c r="G33" s="92">
        <v>-70000</v>
      </c>
      <c r="H33" s="24">
        <f t="shared" si="0"/>
        <v>362681.25</v>
      </c>
      <c r="I33" s="23">
        <f>36*PMT(0.04/12*0.7,36,-H33,E33*'restvärde o service'!$F$19)</f>
        <v>196870.35404630058</v>
      </c>
      <c r="J33" s="24">
        <f>36*PMT(0.04/12,36,-H33*0.9,0.9*E33*'restvärde o service'!$F$19)</f>
        <v>186298.59316233345</v>
      </c>
      <c r="K33" s="76">
        <v>36</v>
      </c>
      <c r="L33" s="24">
        <f t="shared" si="12"/>
        <v>62000</v>
      </c>
      <c r="M33" s="88">
        <f t="shared" si="1"/>
        <v>0.87323943661971826</v>
      </c>
      <c r="N33" s="25">
        <v>36500</v>
      </c>
      <c r="O33" s="24">
        <f t="shared" si="2"/>
        <v>11500</v>
      </c>
      <c r="P33" s="24">
        <f t="shared" si="3"/>
        <v>3041.6666666666665</v>
      </c>
      <c r="Q33" s="67">
        <v>2.59</v>
      </c>
      <c r="R33" s="84">
        <f>Q33</f>
        <v>2.59</v>
      </c>
      <c r="S33" s="24">
        <v>360</v>
      </c>
      <c r="T33" s="24"/>
      <c r="U33" s="95">
        <f t="shared" si="4"/>
        <v>0.24</v>
      </c>
      <c r="V33" s="95">
        <f t="shared" si="10"/>
        <v>4.2735000000000003</v>
      </c>
      <c r="W33" s="95">
        <f>Q33*1.1*$O$1*0.8</f>
        <v>3.4188000000000005</v>
      </c>
      <c r="X33" s="61">
        <f t="shared" si="5"/>
        <v>7.2546761694313913E-2</v>
      </c>
      <c r="Y33" s="34">
        <f t="shared" si="6"/>
        <v>2.6666666666666665</v>
      </c>
      <c r="Z33" s="95">
        <f>'restvärde o service'!$I$19*2/3</f>
        <v>2.1333333333333333</v>
      </c>
      <c r="AA33" s="35"/>
      <c r="AB33" s="24"/>
      <c r="AC33" s="23">
        <f>'restvärde o service'!$J$19+'restvärde o service'!$K$19</f>
        <v>0</v>
      </c>
      <c r="AD33" s="29">
        <f>Q33*1.1*0.338*0.04*$E$4/1000</f>
        <v>5.7777720000000012E-2</v>
      </c>
      <c r="AE33" s="30">
        <f t="shared" si="7"/>
        <v>71000</v>
      </c>
      <c r="AF33" s="31">
        <f t="shared" si="8"/>
        <v>47.125466666666668</v>
      </c>
      <c r="AG33" s="96">
        <f t="shared" si="9"/>
        <v>0</v>
      </c>
      <c r="AH33" s="57" t="str">
        <f t="shared" si="11"/>
        <v>Nissan e-NV200 7-sits, förmånsv. 3000 kr/mån brutto</v>
      </c>
      <c r="AI33" s="57">
        <v>27</v>
      </c>
      <c r="AJ33" s="57"/>
    </row>
    <row r="34" spans="1:36" x14ac:dyDescent="0.35">
      <c r="A34" s="6" t="s">
        <v>94</v>
      </c>
      <c r="B34" s="47" t="s">
        <v>70</v>
      </c>
      <c r="C34" s="47" t="s">
        <v>68</v>
      </c>
      <c r="D34" s="82" t="s">
        <v>102</v>
      </c>
      <c r="E34" s="33">
        <v>446900</v>
      </c>
      <c r="F34" s="39">
        <v>44309</v>
      </c>
      <c r="G34" s="92">
        <v>-70000</v>
      </c>
      <c r="H34" s="24">
        <f t="shared" si="0"/>
        <v>376900</v>
      </c>
      <c r="I34" s="23">
        <f>36*PMT(0.04/12*0.7,36,-H34,E34*'restvärde o service'!$F$19)</f>
        <v>205740.88220511156</v>
      </c>
      <c r="J34" s="24">
        <f>36*PMT(0.04/12,36,-H34*0.9,0.9*E34*'restvärde o service'!$F$19)</f>
        <v>194621.1776989311</v>
      </c>
      <c r="K34" s="76">
        <v>36</v>
      </c>
      <c r="L34" s="24">
        <f t="shared" si="12"/>
        <v>64000</v>
      </c>
      <c r="M34" s="88">
        <f t="shared" si="1"/>
        <v>0.90140845070422537</v>
      </c>
      <c r="N34" s="80">
        <v>42000</v>
      </c>
      <c r="O34" s="24">
        <f t="shared" si="2"/>
        <v>13200</v>
      </c>
      <c r="P34" s="81">
        <f t="shared" si="3"/>
        <v>3500</v>
      </c>
      <c r="Q34" s="67">
        <v>1.75</v>
      </c>
      <c r="R34" s="84">
        <f>Q34</f>
        <v>1.75</v>
      </c>
      <c r="S34" s="23">
        <v>360</v>
      </c>
      <c r="T34" s="23"/>
      <c r="U34" s="95">
        <f t="shared" si="4"/>
        <v>0.24</v>
      </c>
      <c r="V34" s="95">
        <f t="shared" si="10"/>
        <v>2.8874999999999997</v>
      </c>
      <c r="W34" s="95">
        <f>Q34*1.1*$O$1*0.8</f>
        <v>2.31</v>
      </c>
      <c r="X34" s="61">
        <f t="shared" si="5"/>
        <v>4.8785638859556495E-2</v>
      </c>
      <c r="Y34" s="34">
        <f t="shared" si="6"/>
        <v>2.6666666666666665</v>
      </c>
      <c r="Z34" s="95">
        <f>'restvärde o service'!$I$19*2/3</f>
        <v>2.1333333333333333</v>
      </c>
      <c r="AA34" s="35"/>
      <c r="AB34" s="24"/>
      <c r="AC34" s="23">
        <f>'restvärde o service'!$J$19+'restvärde o service'!$K$19</f>
        <v>0</v>
      </c>
      <c r="AD34" s="29">
        <f>Q34*1.1*0.338*0.04*$E$4/1000</f>
        <v>3.9039000000000011E-2</v>
      </c>
      <c r="AE34" s="30">
        <f t="shared" si="7"/>
        <v>71000</v>
      </c>
      <c r="AF34" s="31">
        <f t="shared" si="8"/>
        <v>47.35</v>
      </c>
      <c r="AG34" s="96">
        <f t="shared" si="9"/>
        <v>0</v>
      </c>
      <c r="AH34" s="57" t="str">
        <f t="shared" si="11"/>
        <v>VW ID.4 City 52 kWh, förmånsv. 3500 kr/mån brutto</v>
      </c>
      <c r="AI34" s="57">
        <v>28</v>
      </c>
      <c r="AJ34" s="57" t="s">
        <v>105</v>
      </c>
    </row>
    <row r="35" spans="1:36" x14ac:dyDescent="0.35">
      <c r="B35" s="47" t="s">
        <v>70</v>
      </c>
      <c r="C35" s="93" t="s">
        <v>1</v>
      </c>
      <c r="D35" s="50" t="s">
        <v>141</v>
      </c>
      <c r="E35" s="33">
        <v>300000</v>
      </c>
      <c r="F35" s="39">
        <v>44139</v>
      </c>
      <c r="G35" s="92">
        <v>-10000</v>
      </c>
      <c r="H35" s="24">
        <f t="shared" si="0"/>
        <v>290000</v>
      </c>
      <c r="I35" s="23">
        <f>36*PMT(0.04/12*0.7,36,-H35,E35*'restvärde o service'!$F$19)</f>
        <v>176720.86172116172</v>
      </c>
      <c r="J35" s="24">
        <f>36*PMT(0.04/12,36,-H35*0.9,0.9*E35*'restvärde o service'!$F$19)</f>
        <v>166031.6168827005</v>
      </c>
      <c r="K35" s="76">
        <v>36</v>
      </c>
      <c r="L35" s="24">
        <f t="shared" si="12"/>
        <v>55000</v>
      </c>
      <c r="M35" s="88">
        <f t="shared" si="1"/>
        <v>0.77464788732394363</v>
      </c>
      <c r="N35" s="25">
        <v>36657</v>
      </c>
      <c r="O35" s="24">
        <f t="shared" si="2"/>
        <v>11500</v>
      </c>
      <c r="P35" s="24">
        <f t="shared" si="3"/>
        <v>3054.75</v>
      </c>
      <c r="Q35" s="67">
        <f>AB35/275</f>
        <v>0.41090909090909089</v>
      </c>
      <c r="R35" s="84">
        <f>Q35*13</f>
        <v>5.3418181818181818</v>
      </c>
      <c r="S35" s="24">
        <f>(AB35-111)*11+360</f>
        <v>382</v>
      </c>
      <c r="T35" s="23"/>
      <c r="U35" s="95">
        <f t="shared" si="4"/>
        <v>0.25466666666666665</v>
      </c>
      <c r="V35" s="95">
        <f t="shared" si="10"/>
        <v>9.0400000000000009</v>
      </c>
      <c r="W35" s="95">
        <f>R35/13*1.1*$O$2*0.8</f>
        <v>7.2320000000000011</v>
      </c>
      <c r="X35" s="61">
        <f t="shared" si="5"/>
        <v>0.15272420104181333</v>
      </c>
      <c r="Y35" s="34">
        <f t="shared" si="6"/>
        <v>4</v>
      </c>
      <c r="Z35" s="95">
        <f>'restvärde o service'!$I$19</f>
        <v>3.2</v>
      </c>
      <c r="AA35" s="91"/>
      <c r="AB35" s="36">
        <v>113</v>
      </c>
      <c r="AC35" s="23">
        <f>'restvärde o service'!$J$19+'restvärde o service'!$K$19</f>
        <v>0</v>
      </c>
      <c r="AD35" s="37">
        <f>Q35*1.1*0.338*0.2*13*$E$4/1000</f>
        <v>0.59582640000000009</v>
      </c>
      <c r="AE35" s="30">
        <f t="shared" si="7"/>
        <v>71000</v>
      </c>
      <c r="AF35" s="31">
        <f t="shared" si="8"/>
        <v>47.353333333333332</v>
      </c>
      <c r="AG35" s="96">
        <f t="shared" si="9"/>
        <v>0</v>
      </c>
      <c r="AH35" s="57" t="str">
        <f t="shared" si="11"/>
        <v>Skoda Octavia G-tec DSG 130 Ambition biogas, förmånsv. 3050 kr/mån brutto</v>
      </c>
      <c r="AI35" s="57">
        <v>29</v>
      </c>
      <c r="AJ35" s="57"/>
    </row>
    <row r="36" spans="1:36" x14ac:dyDescent="0.35">
      <c r="A36" s="6" t="s">
        <v>94</v>
      </c>
      <c r="B36" s="47" t="s">
        <v>70</v>
      </c>
      <c r="C36" s="93" t="s">
        <v>68</v>
      </c>
      <c r="D36" s="50" t="s">
        <v>142</v>
      </c>
      <c r="E36" s="33">
        <v>448500</v>
      </c>
      <c r="F36" s="39">
        <v>44224</v>
      </c>
      <c r="G36" s="92">
        <v>-70000</v>
      </c>
      <c r="H36" s="24">
        <f t="shared" si="0"/>
        <v>378500</v>
      </c>
      <c r="I36" s="23">
        <f>36*PMT(0.04/12*0.7,36,-H36,E36*'restvärde o service'!$F$19)</f>
        <v>206739.06031880635</v>
      </c>
      <c r="J36" s="24">
        <f>36*PMT(0.04/12,36,-H36*0.9,0.9*E36*'restvärde o service'!$F$19)</f>
        <v>195557.69710173068</v>
      </c>
      <c r="K36" s="76">
        <v>36</v>
      </c>
      <c r="L36" s="24">
        <f t="shared" si="12"/>
        <v>65000</v>
      </c>
      <c r="M36" s="88">
        <f t="shared" si="1"/>
        <v>0.90277777777777779</v>
      </c>
      <c r="N36" s="25">
        <v>46200</v>
      </c>
      <c r="O36" s="24">
        <f t="shared" si="2"/>
        <v>14500</v>
      </c>
      <c r="P36" s="24">
        <f t="shared" si="3"/>
        <v>3850</v>
      </c>
      <c r="Q36" s="67">
        <v>1.57</v>
      </c>
      <c r="R36" s="84">
        <f>Q36</f>
        <v>1.57</v>
      </c>
      <c r="S36" s="23">
        <v>360</v>
      </c>
      <c r="T36" s="23"/>
      <c r="U36" s="95">
        <f t="shared" si="4"/>
        <v>0.24</v>
      </c>
      <c r="V36" s="95">
        <f t="shared" si="10"/>
        <v>2.5905000000000005</v>
      </c>
      <c r="W36" s="95">
        <f>Q36*1.1*$O$1*0.8</f>
        <v>2.0724000000000005</v>
      </c>
      <c r="X36" s="61">
        <f t="shared" si="5"/>
        <v>4.3374643846817162E-2</v>
      </c>
      <c r="Y36" s="34">
        <f t="shared" si="6"/>
        <v>2.6666666666666665</v>
      </c>
      <c r="Z36" s="95">
        <f>'restvärde o service'!$I$19*2/3</f>
        <v>2.1333333333333333</v>
      </c>
      <c r="AA36" s="24"/>
      <c r="AB36" s="36"/>
      <c r="AC36" s="23">
        <f>'restvärde o service'!$J$19+'restvärde o service'!$K$19</f>
        <v>0</v>
      </c>
      <c r="AD36" s="29">
        <f>Q36*1.1*0.338*0.04*$E$4/1000</f>
        <v>3.5023560000000009E-2</v>
      </c>
      <c r="AE36" s="30">
        <f t="shared" si="7"/>
        <v>72000</v>
      </c>
      <c r="AF36" s="31">
        <f t="shared" si="8"/>
        <v>47.779066666666672</v>
      </c>
      <c r="AG36" s="96">
        <f t="shared" si="9"/>
        <v>0</v>
      </c>
      <c r="AH36" s="57" t="str">
        <f t="shared" si="11"/>
        <v>Skoda Enyaq 60 kWh, förmånsv. 3850 kr/mån brutto</v>
      </c>
      <c r="AI36" s="57">
        <v>30</v>
      </c>
      <c r="AJ36" s="57" t="s">
        <v>103</v>
      </c>
    </row>
    <row r="37" spans="1:36" x14ac:dyDescent="0.35">
      <c r="B37" s="47" t="s">
        <v>70</v>
      </c>
      <c r="C37" s="93" t="s">
        <v>1</v>
      </c>
      <c r="D37" s="51" t="s">
        <v>173</v>
      </c>
      <c r="E37" s="33">
        <v>305900</v>
      </c>
      <c r="F37" s="39"/>
      <c r="G37" s="92">
        <v>-10000</v>
      </c>
      <c r="H37" s="24">
        <f t="shared" si="0"/>
        <v>295900</v>
      </c>
      <c r="I37" s="23"/>
      <c r="J37" s="24">
        <f>36*PMT(0.04/12,36,-H37*0.9,0.9*E37*'restvärde o service'!$F$19)</f>
        <v>169485.03218052388</v>
      </c>
      <c r="K37" s="76">
        <v>36</v>
      </c>
      <c r="L37" s="24">
        <f t="shared" si="12"/>
        <v>56000</v>
      </c>
      <c r="M37" s="88">
        <f t="shared" si="1"/>
        <v>0.77777777777777779</v>
      </c>
      <c r="N37" s="25">
        <v>36654</v>
      </c>
      <c r="O37" s="24">
        <f t="shared" si="2"/>
        <v>11500</v>
      </c>
      <c r="P37" s="24">
        <f t="shared" si="3"/>
        <v>3054.5</v>
      </c>
      <c r="Q37" s="67">
        <f>AB37/275</f>
        <v>0.40363636363636363</v>
      </c>
      <c r="R37" s="84">
        <f>Q37*13</f>
        <v>5.2472727272727271</v>
      </c>
      <c r="S37" s="23">
        <f>(AB37-111)*11+360</f>
        <v>360</v>
      </c>
      <c r="T37" s="23"/>
      <c r="U37" s="95">
        <f t="shared" si="4"/>
        <v>0.24</v>
      </c>
      <c r="V37" s="95"/>
      <c r="W37" s="95">
        <f>R37/13*1.1*$O$2*0.8</f>
        <v>7.104000000000001</v>
      </c>
      <c r="X37" s="61">
        <f t="shared" si="5"/>
        <v>0.14837919126657012</v>
      </c>
      <c r="Y37" s="34">
        <f t="shared" si="6"/>
        <v>4</v>
      </c>
      <c r="Z37" s="95">
        <f>'restvärde o service'!$I$19</f>
        <v>3.2</v>
      </c>
      <c r="AA37" s="91"/>
      <c r="AB37" s="36">
        <v>111</v>
      </c>
      <c r="AC37" s="23">
        <f>'restvärde o service'!$J$19+'restvärde o service'!$K$19</f>
        <v>0</v>
      </c>
      <c r="AD37" s="37">
        <f>Q37*1.1*0.338*0.2*13*$E$4/1000</f>
        <v>0.58528080000000016</v>
      </c>
      <c r="AE37" s="30">
        <f t="shared" si="7"/>
        <v>72000</v>
      </c>
      <c r="AF37" s="31">
        <f t="shared" si="8"/>
        <v>47.87733333333334</v>
      </c>
      <c r="AG37" s="96">
        <f t="shared" si="9"/>
        <v>0</v>
      </c>
      <c r="AH37" s="57"/>
      <c r="AI37" s="57">
        <v>31</v>
      </c>
      <c r="AJ37" s="57"/>
    </row>
    <row r="38" spans="1:36" x14ac:dyDescent="0.35">
      <c r="B38" s="47" t="s">
        <v>70</v>
      </c>
      <c r="C38" s="93" t="s">
        <v>1</v>
      </c>
      <c r="D38" s="51" t="s">
        <v>174</v>
      </c>
      <c r="E38" s="33">
        <v>307900</v>
      </c>
      <c r="F38" s="39"/>
      <c r="G38" s="92">
        <v>-10000</v>
      </c>
      <c r="H38" s="24">
        <f t="shared" si="0"/>
        <v>297900</v>
      </c>
      <c r="I38" s="23"/>
      <c r="J38" s="24">
        <f>36*PMT(0.04/12,36,-H38*0.9,0.9*E38*'restvärde o service'!$F$19)</f>
        <v>170655.68143402331</v>
      </c>
      <c r="K38" s="76">
        <v>36</v>
      </c>
      <c r="L38" s="24">
        <f t="shared" si="12"/>
        <v>56000</v>
      </c>
      <c r="M38" s="88">
        <f t="shared" si="1"/>
        <v>0.77777777777777779</v>
      </c>
      <c r="N38" s="25">
        <v>36853</v>
      </c>
      <c r="O38" s="24">
        <f t="shared" si="2"/>
        <v>11600</v>
      </c>
      <c r="P38" s="24">
        <f t="shared" si="3"/>
        <v>3071.0833333333335</v>
      </c>
      <c r="Q38" s="67">
        <f>AB38/275</f>
        <v>0.40727272727272729</v>
      </c>
      <c r="R38" s="84">
        <f>Q38*13</f>
        <v>5.2945454545454549</v>
      </c>
      <c r="S38" s="24">
        <f>(AB38-111)*11+360</f>
        <v>371</v>
      </c>
      <c r="T38" s="23"/>
      <c r="U38" s="95">
        <f t="shared" si="4"/>
        <v>0.24733333333333332</v>
      </c>
      <c r="V38" s="95"/>
      <c r="W38" s="95">
        <f>R38/13*1.1*$O$2*0.8</f>
        <v>7.168000000000001</v>
      </c>
      <c r="X38" s="61">
        <f t="shared" si="5"/>
        <v>0.14949320801412624</v>
      </c>
      <c r="Y38" s="34">
        <f t="shared" si="6"/>
        <v>4</v>
      </c>
      <c r="Z38" s="95">
        <f>'restvärde o service'!$I$19</f>
        <v>3.2</v>
      </c>
      <c r="AA38" s="91"/>
      <c r="AB38" s="36">
        <v>112</v>
      </c>
      <c r="AC38" s="23">
        <f>'restvärde o service'!$J$19+'restvärde o service'!$K$19</f>
        <v>0</v>
      </c>
      <c r="AD38" s="37">
        <f>Q38*1.1*0.338*0.2*13*$E$4/1000</f>
        <v>0.59055360000000023</v>
      </c>
      <c r="AE38" s="30">
        <f t="shared" si="7"/>
        <v>72000</v>
      </c>
      <c r="AF38" s="31">
        <f t="shared" si="8"/>
        <v>47.948666666666668</v>
      </c>
      <c r="AG38" s="96">
        <f t="shared" si="9"/>
        <v>0</v>
      </c>
      <c r="AH38" s="57"/>
      <c r="AI38" s="57">
        <v>32</v>
      </c>
      <c r="AJ38" s="57"/>
    </row>
    <row r="39" spans="1:36" x14ac:dyDescent="0.35">
      <c r="B39" s="47" t="s">
        <v>70</v>
      </c>
      <c r="C39" s="93" t="s">
        <v>69</v>
      </c>
      <c r="D39" s="50" t="s">
        <v>147</v>
      </c>
      <c r="E39" s="33">
        <v>358900</v>
      </c>
      <c r="F39" s="39">
        <v>44246</v>
      </c>
      <c r="G39" s="92">
        <f>-(45000-(583.33*AB39))</f>
        <v>-27500.1</v>
      </c>
      <c r="H39" s="24">
        <f t="shared" ref="H39:H70" si="13">+E39+G39</f>
        <v>331399.90000000002</v>
      </c>
      <c r="I39" s="23">
        <f>36*PMT(0.04/12*0.7,36,-H39,E39*'restvärde o service'!$F$19)</f>
        <v>195200.50361213961</v>
      </c>
      <c r="J39" s="24">
        <f>36*PMT(0.04/12,36,-H39*0.9,0.9*E39*'restvärde o service'!$F$19)</f>
        <v>183767.04224166757</v>
      </c>
      <c r="K39" s="76">
        <v>36</v>
      </c>
      <c r="L39" s="24">
        <f t="shared" si="12"/>
        <v>61000</v>
      </c>
      <c r="M39" s="88">
        <f t="shared" ref="M39:M70" si="14">L39/AE39</f>
        <v>0.83561643835616439</v>
      </c>
      <c r="N39" s="24">
        <v>37100</v>
      </c>
      <c r="O39" s="24">
        <f t="shared" ref="O39:O70" si="15">ROUND(N39*0.3142,-2)</f>
        <v>11700</v>
      </c>
      <c r="P39" s="24">
        <f t="shared" ref="P39:P70" si="16">N39/12</f>
        <v>3091.6666666666665</v>
      </c>
      <c r="Q39" s="26"/>
      <c r="R39" s="85">
        <f>(0.5*9*(1-$H$3))+($H$3*1.75)*1</f>
        <v>3.125</v>
      </c>
      <c r="S39" s="24">
        <v>360</v>
      </c>
      <c r="T39" s="23"/>
      <c r="U39" s="95">
        <f t="shared" si="4"/>
        <v>0.24</v>
      </c>
      <c r="V39" s="95">
        <f t="shared" ref="V39:V77" si="17">W39/0.8</f>
        <v>5.4375</v>
      </c>
      <c r="W39" s="95">
        <f>0.8*((0.5*$O$5*(1-$H$3))+(($H$3*1.75)*$O$1))*1</f>
        <v>4.3500000000000005</v>
      </c>
      <c r="X39" s="61">
        <f t="shared" ref="X39:X70" si="18">W39/AF39</f>
        <v>8.9770929352686255E-2</v>
      </c>
      <c r="Y39" s="34">
        <f t="shared" si="6"/>
        <v>4</v>
      </c>
      <c r="Z39" s="95">
        <f>'restvärde o service'!$I$19</f>
        <v>3.2</v>
      </c>
      <c r="AA39" s="35"/>
      <c r="AB39" s="42">
        <v>30</v>
      </c>
      <c r="AC39" s="23">
        <f>'restvärde o service'!$J$19+'restvärde o service'!$K$19</f>
        <v>0</v>
      </c>
      <c r="AD39" s="37">
        <f>(R39-($H$3*1.75))*$E$4*0.338/1000</f>
        <v>1.1407499999999999</v>
      </c>
      <c r="AE39" s="30">
        <f t="shared" ref="AE39:AE70" si="19">ROUND(AF39*$E$4,-3)</f>
        <v>73000</v>
      </c>
      <c r="AF39" s="31">
        <f t="shared" ref="AF39:AF70" si="20">(L39/$E$4)+U39+W39+Z39+(AC39/3/$E$4)</f>
        <v>48.456666666666671</v>
      </c>
      <c r="AG39" s="96">
        <f t="shared" ref="AG39:AG70" si="21">ROUND($F$3*O39/$E$4,1)</f>
        <v>0</v>
      </c>
      <c r="AH39" s="57" t="str">
        <f t="shared" ref="AH39:AH64" si="22">D39</f>
        <v>Renault Mégane PHEV laddhybrid, förmånsv. 3100 kr/mån brutto</v>
      </c>
      <c r="AI39" s="57">
        <v>33</v>
      </c>
      <c r="AJ39" s="58"/>
    </row>
    <row r="40" spans="1:36" x14ac:dyDescent="0.35">
      <c r="A40" s="6" t="s">
        <v>94</v>
      </c>
      <c r="B40" s="47" t="s">
        <v>70</v>
      </c>
      <c r="C40" s="47" t="s">
        <v>3</v>
      </c>
      <c r="D40" s="50" t="s">
        <v>117</v>
      </c>
      <c r="E40" s="33">
        <v>269900</v>
      </c>
      <c r="F40" s="39">
        <v>44139</v>
      </c>
      <c r="G40" s="92"/>
      <c r="H40" s="24">
        <f t="shared" si="13"/>
        <v>269900</v>
      </c>
      <c r="I40" s="23">
        <f>36*PMT(0.04/12*0.7,36,-H40,E40*'restvärde o service'!$F$19)</f>
        <v>168380.17055388738</v>
      </c>
      <c r="J40" s="24">
        <f>36*PMT(0.04/12,36,-H40*0.9,0.9*E40*'restvärde o service'!$F$19)</f>
        <v>157979.11675975108</v>
      </c>
      <c r="K40" s="76">
        <v>36</v>
      </c>
      <c r="L40" s="24">
        <f t="shared" si="12"/>
        <v>52000</v>
      </c>
      <c r="M40" s="88">
        <f t="shared" si="14"/>
        <v>0.70270270270270274</v>
      </c>
      <c r="N40" s="25">
        <v>41857</v>
      </c>
      <c r="O40" s="24">
        <f t="shared" si="15"/>
        <v>13200</v>
      </c>
      <c r="P40" s="24">
        <f t="shared" si="16"/>
        <v>3488.0833333333335</v>
      </c>
      <c r="Q40" s="67">
        <v>0.46</v>
      </c>
      <c r="R40" s="84">
        <f>Q40*9.77</f>
        <v>4.4942000000000002</v>
      </c>
      <c r="S40" s="25">
        <f>IF(AB40&gt;130,(360+250+4280+((AB40-130)*132)+(AB40*13.52)),(360+250+(107*(AB40-90)+AB40*13.52)))</f>
        <v>5562.92</v>
      </c>
      <c r="T40" s="21"/>
      <c r="U40" s="95">
        <f t="shared" si="4"/>
        <v>3.7086133333333335</v>
      </c>
      <c r="V40" s="95">
        <f t="shared" si="17"/>
        <v>9.3610000000000024</v>
      </c>
      <c r="W40" s="95">
        <f>Q40*1.1*$O$3*0.8</f>
        <v>7.4888000000000021</v>
      </c>
      <c r="X40" s="61">
        <f t="shared" si="18"/>
        <v>0.15263304641603392</v>
      </c>
      <c r="Y40" s="34">
        <f t="shared" si="6"/>
        <v>4</v>
      </c>
      <c r="Z40" s="95">
        <f>'restvärde o service'!$I$19</f>
        <v>3.2</v>
      </c>
      <c r="AA40" s="41">
        <v>98</v>
      </c>
      <c r="AB40" s="41">
        <v>121</v>
      </c>
      <c r="AC40" s="23">
        <f>'restvärde o service'!$J$19+'restvärde o service'!$K$19</f>
        <v>0</v>
      </c>
      <c r="AD40" s="37">
        <f>Q40*1.1*0.338*0.2*9.8*$E$4/1000</f>
        <v>0.50282232000000016</v>
      </c>
      <c r="AE40" s="30">
        <f t="shared" si="19"/>
        <v>74000</v>
      </c>
      <c r="AF40" s="31">
        <f t="shared" si="20"/>
        <v>49.064080000000004</v>
      </c>
      <c r="AG40" s="96">
        <f t="shared" si="21"/>
        <v>0</v>
      </c>
      <c r="AH40" s="57" t="str">
        <f t="shared" si="22"/>
        <v>Peugeot 308 SW 1.5 HDi 100 aut HVO100, förmånsv. 3500 kr/mån brutto</v>
      </c>
      <c r="AI40" s="57">
        <v>34</v>
      </c>
      <c r="AJ40" s="58"/>
    </row>
    <row r="41" spans="1:36" x14ac:dyDescent="0.35">
      <c r="B41" s="47" t="s">
        <v>70</v>
      </c>
      <c r="C41" s="47" t="s">
        <v>69</v>
      </c>
      <c r="D41" s="50" t="s">
        <v>148</v>
      </c>
      <c r="E41" s="33">
        <v>361900</v>
      </c>
      <c r="F41" s="39">
        <v>44246</v>
      </c>
      <c r="G41" s="92">
        <f>-(45000-(583.33*AB41))</f>
        <v>-25750.109999999997</v>
      </c>
      <c r="H41" s="24">
        <f t="shared" si="13"/>
        <v>336149.89</v>
      </c>
      <c r="I41" s="23">
        <f>36*PMT(0.04/12*0.7,36,-H41,E41*'restvärde o service'!$F$19)</f>
        <v>198898.64569218922</v>
      </c>
      <c r="J41" s="24">
        <f>36*PMT(0.04/12,36,-H41*0.9,0.9*E41*'restvärde o service'!$F$19)</f>
        <v>187197.01650603363</v>
      </c>
      <c r="K41" s="76">
        <v>36</v>
      </c>
      <c r="L41" s="24">
        <f t="shared" si="12"/>
        <v>62000</v>
      </c>
      <c r="M41" s="88">
        <f t="shared" si="14"/>
        <v>0.84931506849315064</v>
      </c>
      <c r="N41" s="24">
        <v>35400</v>
      </c>
      <c r="O41" s="24">
        <f t="shared" si="15"/>
        <v>11100</v>
      </c>
      <c r="P41" s="24">
        <f t="shared" si="16"/>
        <v>2950</v>
      </c>
      <c r="Q41" s="26"/>
      <c r="R41" s="85">
        <f>((0.5*9*(1-$H$3))+($H$3*1.75))*0.95</f>
        <v>2.96875</v>
      </c>
      <c r="S41" s="24">
        <v>360</v>
      </c>
      <c r="T41" s="23"/>
      <c r="U41" s="95">
        <f t="shared" si="4"/>
        <v>0.24</v>
      </c>
      <c r="V41" s="95">
        <f t="shared" si="17"/>
        <v>5.1656250000000004</v>
      </c>
      <c r="W41" s="95">
        <f>0.8*((0.5*$O$5*(1-$H$3))+(($H$3*1.75)*$O$1))*0.95</f>
        <v>4.1325000000000003</v>
      </c>
      <c r="X41" s="61">
        <f t="shared" si="18"/>
        <v>8.4499122463237167E-2</v>
      </c>
      <c r="Y41" s="34">
        <f t="shared" si="6"/>
        <v>4</v>
      </c>
      <c r="Z41" s="95">
        <f>'restvärde o service'!$I$19</f>
        <v>3.2</v>
      </c>
      <c r="AA41" s="35"/>
      <c r="AB41" s="42">
        <v>33</v>
      </c>
      <c r="AC41" s="23">
        <f>'restvärde o service'!$J$19+'restvärde o service'!$K$19</f>
        <v>0</v>
      </c>
      <c r="AD41" s="37">
        <f>(R41-($H$3*1.75))*$E$4*0.338/1000</f>
        <v>1.06153125</v>
      </c>
      <c r="AE41" s="30">
        <f t="shared" si="19"/>
        <v>73000</v>
      </c>
      <c r="AF41" s="31">
        <f t="shared" si="20"/>
        <v>48.905833333333341</v>
      </c>
      <c r="AG41" s="96">
        <f t="shared" si="21"/>
        <v>0</v>
      </c>
      <c r="AH41" s="57" t="str">
        <f t="shared" si="22"/>
        <v>Renault Capture PHEV laddhybrid, förmånsv. 3000 kr/mån brutto</v>
      </c>
      <c r="AI41" s="57">
        <v>35</v>
      </c>
      <c r="AJ41" s="58"/>
    </row>
    <row r="42" spans="1:36" x14ac:dyDescent="0.35">
      <c r="A42" s="6" t="s">
        <v>94</v>
      </c>
      <c r="B42" s="47" t="s">
        <v>70</v>
      </c>
      <c r="C42" s="47" t="s">
        <v>3</v>
      </c>
      <c r="D42" s="50" t="s">
        <v>118</v>
      </c>
      <c r="E42" s="33">
        <f>262900+17000</f>
        <v>279900</v>
      </c>
      <c r="F42" s="39">
        <v>44140</v>
      </c>
      <c r="G42" s="92"/>
      <c r="H42" s="24">
        <f t="shared" si="13"/>
        <v>279900</v>
      </c>
      <c r="I42" s="23">
        <f>36*PMT(0.04/12*0.7,36,-H42,E42*'restvärde o service'!$F$19)</f>
        <v>174618.78376447974</v>
      </c>
      <c r="J42" s="24">
        <f>36*PMT(0.04/12,36,-H42*0.9,0.9*E42*'restvärde o service'!$F$19)</f>
        <v>163832.36302724836</v>
      </c>
      <c r="K42" s="76">
        <v>36</v>
      </c>
      <c r="L42" s="24">
        <f t="shared" si="12"/>
        <v>54000</v>
      </c>
      <c r="M42" s="88">
        <f t="shared" si="14"/>
        <v>0.71052631578947367</v>
      </c>
      <c r="N42" s="25">
        <v>44576</v>
      </c>
      <c r="O42" s="24">
        <f t="shared" si="15"/>
        <v>14000</v>
      </c>
      <c r="P42" s="24">
        <f t="shared" si="16"/>
        <v>3714.6666666666665</v>
      </c>
      <c r="Q42" s="67">
        <v>0.46</v>
      </c>
      <c r="R42" s="84">
        <f>Q42*9.77</f>
        <v>4.4942000000000002</v>
      </c>
      <c r="S42" s="25">
        <f>IF(AB42&gt;130,(360+250+4280+((AB42-130)*132)+(AB42*13.52)),(360+250+(107*(AB42-90)+AB42*13.52)))</f>
        <v>5562.92</v>
      </c>
      <c r="T42" s="21"/>
      <c r="U42" s="95">
        <f t="shared" si="4"/>
        <v>3.7086133333333335</v>
      </c>
      <c r="V42" s="95">
        <f t="shared" si="17"/>
        <v>9.3610000000000024</v>
      </c>
      <c r="W42" s="95">
        <f>Q42*1.1*$O$3*0.8</f>
        <v>7.4888000000000021</v>
      </c>
      <c r="X42" s="61">
        <f t="shared" si="18"/>
        <v>0.14859492788783343</v>
      </c>
      <c r="Y42" s="34">
        <f t="shared" si="6"/>
        <v>4</v>
      </c>
      <c r="Z42" s="95">
        <f>'restvärde o service'!$I$19</f>
        <v>3.2</v>
      </c>
      <c r="AA42" s="44">
        <v>104</v>
      </c>
      <c r="AB42" s="41">
        <v>121</v>
      </c>
      <c r="AC42" s="23">
        <f>'restvärde o service'!$J$19+'restvärde o service'!$K$19</f>
        <v>0</v>
      </c>
      <c r="AD42" s="37">
        <f>Q42*1.1*0.338*0.2*9.8*$E$4/1000</f>
        <v>0.50282232000000016</v>
      </c>
      <c r="AE42" s="30">
        <f t="shared" si="19"/>
        <v>76000</v>
      </c>
      <c r="AF42" s="31">
        <f t="shared" si="20"/>
        <v>50.39741333333334</v>
      </c>
      <c r="AG42" s="96">
        <f t="shared" si="21"/>
        <v>0</v>
      </c>
      <c r="AH42" s="57" t="str">
        <f t="shared" si="22"/>
        <v>Renault Megane Sport Tourer 1.5 dCi 115 EDC (aut) HVO100, förmånsv. 3700 kr/mån brutto</v>
      </c>
      <c r="AI42" s="57">
        <v>36</v>
      </c>
      <c r="AJ42" s="58"/>
    </row>
    <row r="43" spans="1:36" x14ac:dyDescent="0.35">
      <c r="B43" s="47" t="s">
        <v>70</v>
      </c>
      <c r="C43" s="47" t="s">
        <v>68</v>
      </c>
      <c r="D43" s="50" t="s">
        <v>163</v>
      </c>
      <c r="E43" s="33">
        <v>470000</v>
      </c>
      <c r="F43" s="39"/>
      <c r="G43" s="92">
        <v>-70000</v>
      </c>
      <c r="H43" s="24">
        <f t="shared" si="13"/>
        <v>400000</v>
      </c>
      <c r="I43" s="23"/>
      <c r="J43" s="24">
        <f>36*PMT(0.04/12,36,-H43*0.9,0.9*E43*'restvärde o service'!$F$19)</f>
        <v>208142.17657684977</v>
      </c>
      <c r="K43" s="76">
        <v>36</v>
      </c>
      <c r="L43" s="24">
        <f t="shared" si="12"/>
        <v>69000</v>
      </c>
      <c r="M43" s="88">
        <f t="shared" si="14"/>
        <v>0.90789473684210531</v>
      </c>
      <c r="N43" s="89">
        <v>45000</v>
      </c>
      <c r="O43" s="24">
        <f t="shared" si="15"/>
        <v>14100</v>
      </c>
      <c r="P43" s="24">
        <f t="shared" si="16"/>
        <v>3750</v>
      </c>
      <c r="Q43" s="67">
        <v>1.68</v>
      </c>
      <c r="R43" s="84">
        <f>Q43</f>
        <v>1.68</v>
      </c>
      <c r="S43" s="24">
        <v>360</v>
      </c>
      <c r="T43" s="23"/>
      <c r="U43" s="95">
        <f t="shared" si="4"/>
        <v>0.24</v>
      </c>
      <c r="V43" s="95">
        <f t="shared" si="17"/>
        <v>2.7720000000000002</v>
      </c>
      <c r="W43" s="95">
        <f>Q43*1.1*$O$1*0.8</f>
        <v>2.2176000000000005</v>
      </c>
      <c r="X43" s="61">
        <f t="shared" si="18"/>
        <v>4.3833941259566939E-2</v>
      </c>
      <c r="Y43" s="34"/>
      <c r="Z43" s="95">
        <f>'restvärde o service'!$I$19*2/3</f>
        <v>2.1333333333333333</v>
      </c>
      <c r="AA43" s="41"/>
      <c r="AB43" s="24"/>
      <c r="AC43" s="23">
        <f>'restvärde o service'!$J$19+'restvärde o service'!$K$19</f>
        <v>0</v>
      </c>
      <c r="AD43" s="29">
        <f>Q43*1.1*0.338*0.04*$E$4/1000</f>
        <v>3.7477440000000008E-2</v>
      </c>
      <c r="AE43" s="30">
        <f t="shared" si="19"/>
        <v>76000</v>
      </c>
      <c r="AF43" s="31">
        <f t="shared" si="20"/>
        <v>50.590933333333332</v>
      </c>
      <c r="AG43" s="96">
        <f t="shared" si="21"/>
        <v>0</v>
      </c>
      <c r="AH43" s="57" t="str">
        <f t="shared" si="22"/>
        <v xml:space="preserve">Hyundai Ioniq 5 Essential 58 kWh RWD, förmånsv. ca 4000 kr/mån brutto </v>
      </c>
      <c r="AI43" s="57">
        <v>37</v>
      </c>
      <c r="AJ43" s="90" t="s">
        <v>161</v>
      </c>
    </row>
    <row r="44" spans="1:36" x14ac:dyDescent="0.35">
      <c r="A44" s="6" t="s">
        <v>94</v>
      </c>
      <c r="B44" s="47" t="s">
        <v>70</v>
      </c>
      <c r="C44" s="47" t="s">
        <v>3</v>
      </c>
      <c r="D44" s="50" t="s">
        <v>84</v>
      </c>
      <c r="E44" s="33">
        <v>278200</v>
      </c>
      <c r="F44" s="39">
        <v>44139</v>
      </c>
      <c r="G44" s="92"/>
      <c r="H44" s="24">
        <f t="shared" si="13"/>
        <v>278200</v>
      </c>
      <c r="I44" s="23">
        <f>36*PMT(0.04/12*0.7,36,-H44,E44*'restvärde o service'!$F$19)</f>
        <v>173558.21951867902</v>
      </c>
      <c r="J44" s="24">
        <f>36*PMT(0.04/12,36,-H44*0.9,0.9*E44*'restvärde o service'!$F$19)</f>
        <v>162837.3111617738</v>
      </c>
      <c r="K44" s="76">
        <v>36</v>
      </c>
      <c r="L44" s="24">
        <f t="shared" si="12"/>
        <v>54000</v>
      </c>
      <c r="M44" s="88">
        <f t="shared" si="14"/>
        <v>0.69230769230769229</v>
      </c>
      <c r="N44" s="25">
        <v>45548</v>
      </c>
      <c r="O44" s="24">
        <f t="shared" si="15"/>
        <v>14300</v>
      </c>
      <c r="P44" s="24">
        <f t="shared" si="16"/>
        <v>3795.6666666666665</v>
      </c>
      <c r="Q44" s="67">
        <v>0.53</v>
      </c>
      <c r="R44" s="84">
        <f>Q44*9.77</f>
        <v>5.1780999999999997</v>
      </c>
      <c r="S44" s="25">
        <f>IF(AB44&gt;130,(360+250+4280+((AB44-130)*132)+(AB44*13.52)),(360+250+(107*(AB44-90)+AB44*13.52)))</f>
        <v>6647.6</v>
      </c>
      <c r="T44" s="25"/>
      <c r="U44" s="95">
        <f t="shared" si="4"/>
        <v>4.4317333333333337</v>
      </c>
      <c r="V44" s="95">
        <f t="shared" si="17"/>
        <v>10.785500000000001</v>
      </c>
      <c r="W44" s="95">
        <f>Q44*1.1*$O$3*0.8</f>
        <v>8.628400000000001</v>
      </c>
      <c r="X44" s="61">
        <f t="shared" si="18"/>
        <v>0.16510482177619143</v>
      </c>
      <c r="Y44" s="34">
        <f t="shared" ref="Y44:Y58" si="23">Z44*1.25</f>
        <v>4</v>
      </c>
      <c r="Z44" s="95">
        <f>'restvärde o service'!$I$19</f>
        <v>3.2</v>
      </c>
      <c r="AA44" s="41"/>
      <c r="AB44" s="41">
        <v>130</v>
      </c>
      <c r="AC44" s="23">
        <f>'restvärde o service'!$J$19+'restvärde o service'!$K$19</f>
        <v>0</v>
      </c>
      <c r="AD44" s="37">
        <f>Q44*1.1*0.338*0.2*9.8*$E$4/1000</f>
        <v>0.57933876000000006</v>
      </c>
      <c r="AE44" s="30">
        <f t="shared" si="19"/>
        <v>78000</v>
      </c>
      <c r="AF44" s="31">
        <f t="shared" si="20"/>
        <v>52.260133333333336</v>
      </c>
      <c r="AG44" s="96">
        <f t="shared" si="21"/>
        <v>0</v>
      </c>
      <c r="AH44" s="59" t="str">
        <f t="shared" si="22"/>
        <v>Nissan Qashqai 1.5 dCi 115 2WD aut HVO100, förmånsv. 3800 kr/mån brutto</v>
      </c>
      <c r="AI44" s="57">
        <v>38</v>
      </c>
      <c r="AJ44" s="58"/>
    </row>
    <row r="45" spans="1:36" x14ac:dyDescent="0.35">
      <c r="B45" s="47" t="s">
        <v>70</v>
      </c>
      <c r="C45" s="93" t="s">
        <v>68</v>
      </c>
      <c r="D45" s="50" t="s">
        <v>119</v>
      </c>
      <c r="E45" s="33">
        <v>481000</v>
      </c>
      <c r="F45" s="40">
        <v>44137</v>
      </c>
      <c r="G45" s="92">
        <v>-70000</v>
      </c>
      <c r="H45" s="24">
        <f t="shared" si="13"/>
        <v>411000</v>
      </c>
      <c r="I45" s="23">
        <f>36*PMT(0.04/12*0.7,36,-H45,E45*'restvärde o service'!$F$19)</f>
        <v>227014.55325323145</v>
      </c>
      <c r="J45" s="24">
        <f>36*PMT(0.04/12,36,-H45*0.9,0.9*E45*'restvärde o service'!$F$19)</f>
        <v>214580.74747109678</v>
      </c>
      <c r="K45" s="76">
        <v>36</v>
      </c>
      <c r="L45" s="24">
        <f t="shared" si="12"/>
        <v>71000</v>
      </c>
      <c r="M45" s="88">
        <f t="shared" si="14"/>
        <v>0.91025641025641024</v>
      </c>
      <c r="N45" s="25">
        <v>35351</v>
      </c>
      <c r="O45" s="24">
        <f t="shared" si="15"/>
        <v>11100</v>
      </c>
      <c r="P45" s="24">
        <f t="shared" si="16"/>
        <v>2945.9166666666665</v>
      </c>
      <c r="Q45" s="67">
        <v>1.54</v>
      </c>
      <c r="R45" s="84">
        <f>Q45</f>
        <v>1.54</v>
      </c>
      <c r="S45" s="23">
        <v>360</v>
      </c>
      <c r="T45" s="23"/>
      <c r="U45" s="95">
        <f t="shared" si="4"/>
        <v>0.24</v>
      </c>
      <c r="V45" s="95">
        <f t="shared" si="17"/>
        <v>2.5410000000000004</v>
      </c>
      <c r="W45" s="95">
        <f>Q45*1.1*$O$1*0.8</f>
        <v>2.0328000000000004</v>
      </c>
      <c r="X45" s="61">
        <f t="shared" si="18"/>
        <v>3.9289156440215856E-2</v>
      </c>
      <c r="Y45" s="34">
        <f t="shared" si="23"/>
        <v>2.6666666666666665</v>
      </c>
      <c r="Z45" s="95">
        <f>'restvärde o service'!$I$19*2/3</f>
        <v>2.1333333333333333</v>
      </c>
      <c r="AA45" s="24"/>
      <c r="AB45" s="35"/>
      <c r="AC45" s="23">
        <f>'restvärde o service'!$J$19+'restvärde o service'!$K$19</f>
        <v>0</v>
      </c>
      <c r="AD45" s="29">
        <f>Q45*1.1*0.338*0.04*$E$4/1000</f>
        <v>3.4354320000000008E-2</v>
      </c>
      <c r="AE45" s="30">
        <f t="shared" si="19"/>
        <v>78000</v>
      </c>
      <c r="AF45" s="31">
        <f t="shared" si="20"/>
        <v>51.739466666666672</v>
      </c>
      <c r="AG45" s="96">
        <f t="shared" si="21"/>
        <v>0</v>
      </c>
      <c r="AH45" s="57" t="str">
        <f t="shared" si="22"/>
        <v xml:space="preserve">Kia e-Niro 64 kWh, förmånsvärde 2900 kr/mån brutto </v>
      </c>
      <c r="AI45" s="57">
        <v>39</v>
      </c>
      <c r="AJ45" s="58"/>
    </row>
    <row r="46" spans="1:36" x14ac:dyDescent="0.35">
      <c r="B46" s="47" t="s">
        <v>71</v>
      </c>
      <c r="C46" s="47" t="s">
        <v>68</v>
      </c>
      <c r="D46" s="70" t="s">
        <v>133</v>
      </c>
      <c r="E46" s="25">
        <v>562375</v>
      </c>
      <c r="F46" s="39">
        <v>44312</v>
      </c>
      <c r="G46" s="92">
        <v>-70000</v>
      </c>
      <c r="H46" s="24">
        <f t="shared" si="13"/>
        <v>492375</v>
      </c>
      <c r="I46" s="23">
        <f>60*PMT(0.04/12*0.7,60,-H46,E46*'restvärde o service'!$F$19)</f>
        <v>298713.95127458108</v>
      </c>
      <c r="J46" s="24">
        <f>60*PMT(0.04/12,60,-H46*0.9,0.9*E46*'restvärde o service'!$G$19)</f>
        <v>352248.07876448287</v>
      </c>
      <c r="K46" s="76">
        <v>60</v>
      </c>
      <c r="L46" s="24">
        <f>ROUNDDOWN(J46/5,-3)</f>
        <v>70000</v>
      </c>
      <c r="M46" s="88">
        <f t="shared" si="14"/>
        <v>0.89743589743589747</v>
      </c>
      <c r="N46" s="25">
        <v>49975</v>
      </c>
      <c r="O46" s="24">
        <f t="shared" si="15"/>
        <v>15700</v>
      </c>
      <c r="P46" s="24">
        <f t="shared" si="16"/>
        <v>4164.583333333333</v>
      </c>
      <c r="Q46" s="67">
        <v>2.44</v>
      </c>
      <c r="R46" s="84">
        <f>Q46</f>
        <v>2.44</v>
      </c>
      <c r="S46" s="23">
        <v>360</v>
      </c>
      <c r="T46" s="23"/>
      <c r="U46" s="95">
        <f t="shared" si="4"/>
        <v>0.24</v>
      </c>
      <c r="V46" s="95">
        <f t="shared" si="17"/>
        <v>4.0259999999999998</v>
      </c>
      <c r="W46" s="95">
        <f>Q46*1.1*$O$1*0.8</f>
        <v>3.2208000000000001</v>
      </c>
      <c r="X46" s="61">
        <f t="shared" si="18"/>
        <v>6.1629366561552837E-2</v>
      </c>
      <c r="Y46" s="34">
        <f t="shared" si="23"/>
        <v>2.6666666666666665</v>
      </c>
      <c r="Z46" s="95">
        <f>'restvärde o service'!$I$19*2/3</f>
        <v>2.1333333333333333</v>
      </c>
      <c r="AA46" s="35"/>
      <c r="AB46" s="24"/>
      <c r="AC46" s="23">
        <f>'restvärde o service'!$J$19+'restvärde o service'!$K$19</f>
        <v>0</v>
      </c>
      <c r="AD46" s="29">
        <f>Q46*1.1*0.338*0.04*$E$4/1000</f>
        <v>5.4431520000000004E-2</v>
      </c>
      <c r="AE46" s="30">
        <f t="shared" si="19"/>
        <v>78000</v>
      </c>
      <c r="AF46" s="31">
        <f t="shared" si="20"/>
        <v>52.260799999999996</v>
      </c>
      <c r="AG46" s="96">
        <f t="shared" si="21"/>
        <v>0</v>
      </c>
      <c r="AH46" s="57" t="str">
        <f t="shared" si="22"/>
        <v xml:space="preserve">Citroën e-Berlingo L2 75kWh. förmånsv. 4200 kr/mån brutto </v>
      </c>
      <c r="AI46" s="57">
        <v>40</v>
      </c>
      <c r="AJ46" s="58"/>
    </row>
    <row r="47" spans="1:36" x14ac:dyDescent="0.35">
      <c r="B47" s="47" t="s">
        <v>71</v>
      </c>
      <c r="C47" s="47" t="s">
        <v>3</v>
      </c>
      <c r="D47" s="50" t="s">
        <v>155</v>
      </c>
      <c r="E47" s="25">
        <f>259900/0.8</f>
        <v>324875</v>
      </c>
      <c r="F47" s="39">
        <v>44309</v>
      </c>
      <c r="G47" s="92"/>
      <c r="H47" s="24">
        <f t="shared" si="13"/>
        <v>324875</v>
      </c>
      <c r="I47" s="23"/>
      <c r="J47" s="24">
        <f>60*PMT(0.04/12,60,-H47*0.9,0.9*E47*'restvärde o service'!$G$19)</f>
        <v>243703.20538223602</v>
      </c>
      <c r="K47" s="76">
        <v>60</v>
      </c>
      <c r="L47" s="24">
        <f>ROUNDDOWN(J47/5,-3)</f>
        <v>48000</v>
      </c>
      <c r="M47" s="88">
        <f t="shared" si="14"/>
        <v>0.58536585365853655</v>
      </c>
      <c r="N47" s="25">
        <v>66450</v>
      </c>
      <c r="O47" s="24">
        <f t="shared" si="15"/>
        <v>20900</v>
      </c>
      <c r="P47" s="24">
        <f t="shared" si="16"/>
        <v>5537.5</v>
      </c>
      <c r="Q47" s="67">
        <v>0.74</v>
      </c>
      <c r="R47" s="84">
        <f>Q47*9.77</f>
        <v>7.2298</v>
      </c>
      <c r="S47" s="25">
        <f>IF(AB47&gt;130,(360+250+4280+((AB47-130)*132)+(AB47*13.52)),(360+250+(107*(AB47-90)+AB47*13.52)))</f>
        <v>15960.880000000001</v>
      </c>
      <c r="T47" s="78">
        <f>(360+250+(22*(AB47-111)+(AB47*13.52)))</f>
        <v>5058.88</v>
      </c>
      <c r="U47" s="95">
        <f>((S47*0.6)+(0.4*T47))/$E$4</f>
        <v>7.7333866666666662</v>
      </c>
      <c r="V47" s="95">
        <f t="shared" si="17"/>
        <v>15.059000000000001</v>
      </c>
      <c r="W47" s="95">
        <f>Q47*1.1*$O$3*0.8</f>
        <v>12.047200000000002</v>
      </c>
      <c r="X47" s="61">
        <f t="shared" si="18"/>
        <v>0.21911734178172951</v>
      </c>
      <c r="Y47" s="34">
        <f t="shared" si="23"/>
        <v>4</v>
      </c>
      <c r="Z47" s="95">
        <f>'restvärde o service'!$I$19</f>
        <v>3.2</v>
      </c>
      <c r="AA47" s="41">
        <v>84</v>
      </c>
      <c r="AB47" s="41">
        <v>194</v>
      </c>
      <c r="AC47" s="23">
        <f>'restvärde o service'!$J$19+'restvärde o service'!$K$19</f>
        <v>0</v>
      </c>
      <c r="AD47" s="37">
        <f>Q47*1.1*0.338*0.2*9.8*$E$4/1000</f>
        <v>0.80888808000000023</v>
      </c>
      <c r="AE47" s="30">
        <f t="shared" si="19"/>
        <v>82000</v>
      </c>
      <c r="AF47" s="31">
        <f t="shared" si="20"/>
        <v>54.980586666666674</v>
      </c>
      <c r="AG47" s="96">
        <f t="shared" si="21"/>
        <v>0</v>
      </c>
      <c r="AH47" s="57" t="str">
        <f t="shared" si="22"/>
        <v xml:space="preserve">Citroen Jumpy L2 120 BlueHDi aut HVO100, förmånsv. 5500 kr/mån brutto </v>
      </c>
      <c r="AI47" s="57">
        <v>41</v>
      </c>
      <c r="AJ47" s="57"/>
    </row>
    <row r="48" spans="1:36" x14ac:dyDescent="0.35">
      <c r="A48" s="6" t="s">
        <v>94</v>
      </c>
      <c r="B48" s="47" t="s">
        <v>70</v>
      </c>
      <c r="C48" s="47" t="s">
        <v>69</v>
      </c>
      <c r="D48" s="50" t="s">
        <v>149</v>
      </c>
      <c r="E48" s="25">
        <v>404900</v>
      </c>
      <c r="F48" s="39">
        <v>44246</v>
      </c>
      <c r="G48" s="92">
        <f>-(45000-(583.33*AB48))</f>
        <v>-26916.77</v>
      </c>
      <c r="H48" s="24">
        <f t="shared" si="13"/>
        <v>377983.23</v>
      </c>
      <c r="I48" s="23">
        <f>36*PMT(0.04/12*0.7,36,-H48,E48*'restvärde o service'!$F$19)</f>
        <v>224506.97708648827</v>
      </c>
      <c r="J48" s="24">
        <f>36*PMT(0.04/12,36,-H48*0.9,0.9*E48*'restvärde o service'!$F$19)</f>
        <v>211249.97520019393</v>
      </c>
      <c r="K48" s="76">
        <v>36</v>
      </c>
      <c r="L48" s="24">
        <f>ROUNDDOWN(J48/3,-3)</f>
        <v>70000</v>
      </c>
      <c r="M48" s="88">
        <f t="shared" si="14"/>
        <v>0.84337349397590367</v>
      </c>
      <c r="N48" s="25">
        <v>40600</v>
      </c>
      <c r="O48" s="24">
        <f t="shared" si="15"/>
        <v>12800</v>
      </c>
      <c r="P48" s="24">
        <f t="shared" si="16"/>
        <v>3383.3333333333335</v>
      </c>
      <c r="Q48" s="67"/>
      <c r="R48" s="85">
        <f>((0.5*9*(1-$H$3))+($H$3*1.75))*1.15</f>
        <v>3.5937499999999996</v>
      </c>
      <c r="S48" s="23">
        <v>360</v>
      </c>
      <c r="T48" s="23"/>
      <c r="U48" s="95">
        <f t="shared" ref="U48:U67" si="24">S48/$E$4</f>
        <v>0.24</v>
      </c>
      <c r="V48" s="95">
        <f t="shared" si="17"/>
        <v>6.2531249999999998</v>
      </c>
      <c r="W48" s="95">
        <f>0.8*((0.5*$O$5*(1-$H$3))+(($H$3*1.75)*$O$1))*1.15</f>
        <v>5.0025000000000004</v>
      </c>
      <c r="X48" s="61">
        <f t="shared" si="18"/>
        <v>9.0774372079660076E-2</v>
      </c>
      <c r="Y48" s="34">
        <f t="shared" si="23"/>
        <v>4</v>
      </c>
      <c r="Z48" s="95">
        <f>'restvärde o service'!$I$19</f>
        <v>3.2</v>
      </c>
      <c r="AA48" s="35"/>
      <c r="AB48" s="42">
        <v>31</v>
      </c>
      <c r="AC48" s="23">
        <f>'restvärde o service'!$J$19+'restvärde o service'!$K$19</f>
        <v>0</v>
      </c>
      <c r="AD48" s="37">
        <f>(R48-($H$3*1.75))*$E$4*0.338/1000</f>
        <v>1.3784062500000001</v>
      </c>
      <c r="AE48" s="30">
        <f t="shared" si="19"/>
        <v>83000</v>
      </c>
      <c r="AF48" s="31">
        <f t="shared" si="20"/>
        <v>55.109166666666667</v>
      </c>
      <c r="AG48" s="96">
        <f t="shared" si="21"/>
        <v>0</v>
      </c>
      <c r="AH48" s="59" t="str">
        <f t="shared" si="22"/>
        <v>Peugeot 3008 PHEV laddhybrid, förmånsv. 3400 kr/mån brutto</v>
      </c>
      <c r="AI48" s="57">
        <v>42</v>
      </c>
      <c r="AJ48" s="58"/>
    </row>
    <row r="49" spans="1:36" x14ac:dyDescent="0.35">
      <c r="B49" s="47" t="s">
        <v>70</v>
      </c>
      <c r="C49" s="47" t="s">
        <v>68</v>
      </c>
      <c r="D49" s="50" t="s">
        <v>143</v>
      </c>
      <c r="E49" s="33">
        <v>499900</v>
      </c>
      <c r="F49" s="39">
        <v>44246</v>
      </c>
      <c r="G49" s="92">
        <v>-70000</v>
      </c>
      <c r="H49" s="24">
        <f t="shared" si="13"/>
        <v>429900</v>
      </c>
      <c r="I49" s="23">
        <f>36*PMT(0.04/12*0.7,36,-H49,E49*'restvärde o service'!$F$19)</f>
        <v>238805.53222125099</v>
      </c>
      <c r="J49" s="24">
        <f>36*PMT(0.04/12,36,-H49*0.9,0.9*E49*'restvärde o service'!$F$19)</f>
        <v>225643.3829166666</v>
      </c>
      <c r="K49" s="76">
        <v>36</v>
      </c>
      <c r="L49" s="24">
        <f>ROUNDDOWN(J49/3,-3)</f>
        <v>75000</v>
      </c>
      <c r="M49" s="88">
        <f t="shared" si="14"/>
        <v>0.90361445783132532</v>
      </c>
      <c r="N49" s="24">
        <v>39500</v>
      </c>
      <c r="O49" s="24">
        <f t="shared" si="15"/>
        <v>12400</v>
      </c>
      <c r="P49" s="24">
        <f t="shared" si="16"/>
        <v>3291.6666666666665</v>
      </c>
      <c r="Q49" s="67">
        <v>2.1</v>
      </c>
      <c r="R49" s="84">
        <f>Q49</f>
        <v>2.1</v>
      </c>
      <c r="S49" s="24">
        <v>360</v>
      </c>
      <c r="T49" s="24"/>
      <c r="U49" s="95">
        <f t="shared" si="24"/>
        <v>0.24</v>
      </c>
      <c r="V49" s="95">
        <f t="shared" si="17"/>
        <v>3.4650000000000007</v>
      </c>
      <c r="W49" s="95">
        <f>Q49*1.1*$O$1*0.8</f>
        <v>2.7720000000000007</v>
      </c>
      <c r="X49" s="61">
        <f t="shared" si="18"/>
        <v>5.0267172803984635E-2</v>
      </c>
      <c r="Y49" s="34">
        <f t="shared" si="23"/>
        <v>2.6666666666666665</v>
      </c>
      <c r="Z49" s="95">
        <f>'restvärde o service'!$I$19*2/3</f>
        <v>2.1333333333333333</v>
      </c>
      <c r="AA49" s="35"/>
      <c r="AB49" s="24"/>
      <c r="AC49" s="23">
        <f>'restvärde o service'!$J$19+'restvärde o service'!$K$19</f>
        <v>0</v>
      </c>
      <c r="AD49" s="29">
        <f>Q49*1.1*0.338*0.04*$E$4/1000</f>
        <v>4.6846800000000015E-2</v>
      </c>
      <c r="AE49" s="30">
        <f t="shared" si="19"/>
        <v>83000</v>
      </c>
      <c r="AF49" s="31">
        <f t="shared" si="20"/>
        <v>55.145333333333333</v>
      </c>
      <c r="AG49" s="96">
        <f t="shared" si="21"/>
        <v>0</v>
      </c>
      <c r="AH49" s="59" t="str">
        <f t="shared" si="22"/>
        <v xml:space="preserve">Maxus Euniq MPV 7-sits (el), förmånsv. 3300 kr/mån brutto </v>
      </c>
      <c r="AI49" s="57">
        <v>43</v>
      </c>
      <c r="AJ49" s="58"/>
    </row>
    <row r="50" spans="1:36" x14ac:dyDescent="0.35">
      <c r="B50" s="47" t="s">
        <v>70</v>
      </c>
      <c r="C50" s="93" t="s">
        <v>69</v>
      </c>
      <c r="D50" s="50" t="s">
        <v>150</v>
      </c>
      <c r="E50" s="33">
        <v>414900</v>
      </c>
      <c r="F50" s="39">
        <v>44224</v>
      </c>
      <c r="G50" s="92">
        <f>-(45000-(583.33*AB50))</f>
        <v>-31000.079999999998</v>
      </c>
      <c r="H50" s="24">
        <f t="shared" si="13"/>
        <v>383899.92</v>
      </c>
      <c r="I50" s="23">
        <f>36*PMT(0.04/12*0.7,36,-H50,E50*'restvärde o service'!$F$19)</f>
        <v>226483.62135771287</v>
      </c>
      <c r="J50" s="24">
        <f>36*PMT(0.04/12,36,-H50*0.9,0.9*E50*'restvärde o service'!$F$19)</f>
        <v>213197.22057141847</v>
      </c>
      <c r="K50" s="76">
        <v>36</v>
      </c>
      <c r="L50" s="24">
        <f>ROUNDDOWN(J50/3,-3)</f>
        <v>71000</v>
      </c>
      <c r="M50" s="88">
        <f t="shared" si="14"/>
        <v>0.85542168674698793</v>
      </c>
      <c r="N50" s="25">
        <v>40320</v>
      </c>
      <c r="O50" s="24">
        <f t="shared" si="15"/>
        <v>12700</v>
      </c>
      <c r="P50" s="24">
        <f t="shared" si="16"/>
        <v>3360</v>
      </c>
      <c r="Q50" s="26"/>
      <c r="R50" s="85">
        <f>((0.5*9*(1-$H$3))+($H$3*1.75))*1.05</f>
        <v>3.28125</v>
      </c>
      <c r="S50" s="24">
        <v>360</v>
      </c>
      <c r="T50" s="24"/>
      <c r="U50" s="95">
        <f t="shared" si="24"/>
        <v>0.24</v>
      </c>
      <c r="V50" s="95">
        <f t="shared" si="17"/>
        <v>5.7093750000000005</v>
      </c>
      <c r="W50" s="95">
        <f>0.8*((0.5*$O$5*(1-$H$3))+(($H$3*1.75)*$O$1))*1.05</f>
        <v>4.5675000000000008</v>
      </c>
      <c r="X50" s="61">
        <f t="shared" si="18"/>
        <v>8.2533993886370824E-2</v>
      </c>
      <c r="Y50" s="34">
        <f t="shared" si="23"/>
        <v>4</v>
      </c>
      <c r="Z50" s="95">
        <f>'restvärde o service'!$I$19</f>
        <v>3.2</v>
      </c>
      <c r="AA50" s="35"/>
      <c r="AB50" s="36">
        <v>24</v>
      </c>
      <c r="AC50" s="23">
        <f>'restvärde o service'!$J$19+'restvärde o service'!$K$19</f>
        <v>0</v>
      </c>
      <c r="AD50" s="37">
        <f>(R50-($H$3*1.75))*$E$4*0.338/1000</f>
        <v>1.21996875</v>
      </c>
      <c r="AE50" s="30">
        <f t="shared" si="19"/>
        <v>83000</v>
      </c>
      <c r="AF50" s="31">
        <f t="shared" si="20"/>
        <v>55.340833333333343</v>
      </c>
      <c r="AG50" s="96">
        <f t="shared" si="21"/>
        <v>0</v>
      </c>
      <c r="AH50" s="57" t="str">
        <f t="shared" si="22"/>
        <v>Skoda Octavia combi iV PHEV laddhybrid, förmånsv. 3400 kr/mån brutto</v>
      </c>
      <c r="AI50" s="57">
        <v>44</v>
      </c>
      <c r="AJ50" s="58"/>
    </row>
    <row r="51" spans="1:36" x14ac:dyDescent="0.35">
      <c r="A51" s="6" t="s">
        <v>94</v>
      </c>
      <c r="B51" s="47" t="s">
        <v>70</v>
      </c>
      <c r="C51" s="93" t="s">
        <v>68</v>
      </c>
      <c r="D51" s="50" t="s">
        <v>120</v>
      </c>
      <c r="E51" s="33">
        <v>579000</v>
      </c>
      <c r="F51" s="43">
        <v>44257</v>
      </c>
      <c r="G51" s="92">
        <v>-70000</v>
      </c>
      <c r="H51" s="24">
        <f t="shared" si="13"/>
        <v>509000</v>
      </c>
      <c r="I51" s="23">
        <f>36*PMT(0.04/12*0.7,36,-H51,E51*'restvärde o service'!$F$19)</f>
        <v>288152.96271703643</v>
      </c>
      <c r="J51" s="24">
        <f>36*PMT(0.04/12,36,-H51*0.9,0.9*E51*('restvärde o service'!$F$19+0.07))</f>
        <v>237549.73045316298</v>
      </c>
      <c r="K51" s="76">
        <v>36</v>
      </c>
      <c r="L51" s="24">
        <f>ROUNDDOWN(J51/3,-3)</f>
        <v>79000</v>
      </c>
      <c r="M51" s="88">
        <f t="shared" si="14"/>
        <v>0.90804597701149425</v>
      </c>
      <c r="N51" s="24">
        <v>43600</v>
      </c>
      <c r="O51" s="24">
        <f t="shared" si="15"/>
        <v>13700</v>
      </c>
      <c r="P51" s="24">
        <f t="shared" si="16"/>
        <v>3633.3333333333335</v>
      </c>
      <c r="Q51" s="67">
        <v>2</v>
      </c>
      <c r="R51" s="84">
        <f>Q51</f>
        <v>2</v>
      </c>
      <c r="S51" s="24">
        <v>360</v>
      </c>
      <c r="T51" s="24"/>
      <c r="U51" s="95">
        <f t="shared" si="24"/>
        <v>0.24</v>
      </c>
      <c r="V51" s="95">
        <f t="shared" si="17"/>
        <v>3.3000000000000007</v>
      </c>
      <c r="W51" s="95">
        <f>Q51*1.1*$O$1*0.8</f>
        <v>2.6400000000000006</v>
      </c>
      <c r="X51" s="61">
        <f t="shared" si="18"/>
        <v>4.5769764216366166E-2</v>
      </c>
      <c r="Y51" s="34">
        <f t="shared" si="23"/>
        <v>2.6666666666666665</v>
      </c>
      <c r="Z51" s="95">
        <f>'restvärde o service'!$I$19*2/3</f>
        <v>2.1333333333333333</v>
      </c>
      <c r="AA51" s="24"/>
      <c r="AB51" s="35"/>
      <c r="AC51" s="23">
        <f>'restvärde o service'!$J$19+'restvärde o service'!$K$19</f>
        <v>0</v>
      </c>
      <c r="AD51" s="29">
        <f>Q51*1.1*0.338*0.04*$E$4/1000</f>
        <v>4.461600000000001E-2</v>
      </c>
      <c r="AE51" s="30">
        <f t="shared" si="19"/>
        <v>87000</v>
      </c>
      <c r="AF51" s="31">
        <f t="shared" si="20"/>
        <v>57.68</v>
      </c>
      <c r="AG51" s="96">
        <f t="shared" si="21"/>
        <v>0</v>
      </c>
      <c r="AH51" s="57" t="str">
        <f t="shared" si="22"/>
        <v>Tesla 3 Standard Range Plus 2WD, förmånsvärde 3600 kr/mån brutto</v>
      </c>
      <c r="AI51" s="57">
        <v>45</v>
      </c>
      <c r="AJ51" s="58"/>
    </row>
    <row r="52" spans="1:36" x14ac:dyDescent="0.35">
      <c r="B52" s="47" t="s">
        <v>70</v>
      </c>
      <c r="C52" s="47" t="s">
        <v>1</v>
      </c>
      <c r="D52" s="51" t="s">
        <v>83</v>
      </c>
      <c r="E52" s="33">
        <v>369900</v>
      </c>
      <c r="F52" s="39">
        <v>44140</v>
      </c>
      <c r="G52" s="92">
        <v>-10000</v>
      </c>
      <c r="H52" s="24">
        <f t="shared" si="13"/>
        <v>359900</v>
      </c>
      <c r="I52" s="23">
        <f>36*PMT(0.04/12*0.7,36,-H52,E52*'restvärde o service'!$F$19)</f>
        <v>220328.76806320218</v>
      </c>
      <c r="J52" s="24">
        <f>36*PMT(0.04/12,36,-H52*0.9,0.9*E52*'restvärde o service'!$F$19)</f>
        <v>206945.80829250632</v>
      </c>
      <c r="K52" s="76">
        <v>36</v>
      </c>
      <c r="L52" s="24">
        <f>ROUNDDOWN(J52/3,-3)</f>
        <v>68000</v>
      </c>
      <c r="M52" s="88">
        <f t="shared" si="14"/>
        <v>0.77272727272727271</v>
      </c>
      <c r="N52" s="24">
        <f>ROUND(3807*12,-2)</f>
        <v>45700</v>
      </c>
      <c r="O52" s="24">
        <f t="shared" si="15"/>
        <v>14400</v>
      </c>
      <c r="P52" s="24">
        <f t="shared" si="16"/>
        <v>3808.3333333333335</v>
      </c>
      <c r="Q52" s="67">
        <f>(AB52-33)/275</f>
        <v>0.54545454545454541</v>
      </c>
      <c r="R52" s="84">
        <f>Q52*13</f>
        <v>7.0909090909090899</v>
      </c>
      <c r="S52" s="33">
        <f>360+(AB52-111)*11</f>
        <v>1152</v>
      </c>
      <c r="T52" s="33"/>
      <c r="U52" s="95">
        <f t="shared" si="24"/>
        <v>0.76800000000000002</v>
      </c>
      <c r="V52" s="95">
        <f t="shared" si="17"/>
        <v>12.000000000000002</v>
      </c>
      <c r="W52" s="95">
        <f>R52/13*1.1*$O$2*0.8</f>
        <v>9.6000000000000014</v>
      </c>
      <c r="X52" s="61">
        <f t="shared" si="18"/>
        <v>0.1629844259326331</v>
      </c>
      <c r="Y52" s="34">
        <f t="shared" si="23"/>
        <v>4</v>
      </c>
      <c r="Z52" s="95">
        <f>'restvärde o service'!$I$19</f>
        <v>3.2</v>
      </c>
      <c r="AA52" s="91"/>
      <c r="AB52" s="36">
        <v>183</v>
      </c>
      <c r="AC52" s="23">
        <f>'restvärde o service'!$J$19+'restvärde o service'!$K$19</f>
        <v>0</v>
      </c>
      <c r="AD52" s="37">
        <f>Q52*1.1*0.338*0.2*13*$E$4/1000</f>
        <v>0.79092000000000007</v>
      </c>
      <c r="AE52" s="30">
        <f t="shared" si="19"/>
        <v>88000</v>
      </c>
      <c r="AF52" s="31">
        <f t="shared" si="20"/>
        <v>58.901333333333341</v>
      </c>
      <c r="AG52" s="96">
        <f t="shared" si="21"/>
        <v>0</v>
      </c>
      <c r="AH52" s="57" t="str">
        <f t="shared" si="22"/>
        <v>DFSK Fengon 580 Biogashybrid, förmånsv. 3800 kr/mån brutto</v>
      </c>
      <c r="AI52" s="57">
        <v>46</v>
      </c>
      <c r="AJ52" s="58"/>
    </row>
    <row r="53" spans="1:36" x14ac:dyDescent="0.35">
      <c r="B53" s="47" t="s">
        <v>71</v>
      </c>
      <c r="C53" s="47" t="s">
        <v>68</v>
      </c>
      <c r="D53" s="50" t="s">
        <v>56</v>
      </c>
      <c r="E53" s="33">
        <f>507400/0.8</f>
        <v>634250</v>
      </c>
      <c r="F53" s="39">
        <v>44246</v>
      </c>
      <c r="G53" s="92">
        <v>-70000</v>
      </c>
      <c r="H53" s="24">
        <f t="shared" si="13"/>
        <v>564250</v>
      </c>
      <c r="I53" s="23">
        <f>60*PMT(0.04/12*0.7,60,-H53,E53*'restvärde o service'!$F$19)</f>
        <v>346489.14704528154</v>
      </c>
      <c r="J53" s="24">
        <f>60*PMT(0.04/12,60,-H53*0.9,0.9*E53*'restvärde o service'!$G$19)</f>
        <v>406164.71712338465</v>
      </c>
      <c r="K53" s="76">
        <v>60</v>
      </c>
      <c r="L53" s="24">
        <f>ROUNDDOWN(J53/5,-3)</f>
        <v>81000</v>
      </c>
      <c r="M53" s="88">
        <f t="shared" si="14"/>
        <v>0.89010989010989006</v>
      </c>
      <c r="N53" s="25" t="s">
        <v>91</v>
      </c>
      <c r="O53" s="24" t="e">
        <f t="shared" si="15"/>
        <v>#VALUE!</v>
      </c>
      <c r="P53" s="24" t="e">
        <f t="shared" si="16"/>
        <v>#VALUE!</v>
      </c>
      <c r="Q53" s="67">
        <v>3</v>
      </c>
      <c r="R53" s="84">
        <f>Q53</f>
        <v>3</v>
      </c>
      <c r="S53" s="24">
        <v>360</v>
      </c>
      <c r="T53" s="24"/>
      <c r="U53" s="95">
        <f t="shared" si="24"/>
        <v>0.24</v>
      </c>
      <c r="V53" s="95">
        <f t="shared" si="17"/>
        <v>4.95</v>
      </c>
      <c r="W53" s="95">
        <f>Q53*1.1*$O$1*0.8</f>
        <v>3.9600000000000004</v>
      </c>
      <c r="X53" s="61">
        <f t="shared" si="18"/>
        <v>6.5635359116022099E-2</v>
      </c>
      <c r="Y53" s="34">
        <f t="shared" si="23"/>
        <v>2.6666666666666665</v>
      </c>
      <c r="Z53" s="95">
        <f>'restvärde o service'!$I$19*2/3</f>
        <v>2.1333333333333333</v>
      </c>
      <c r="AA53" s="35"/>
      <c r="AB53" s="24"/>
      <c r="AC53" s="23">
        <f>'restvärde o service'!$J$19+'restvärde o service'!$K$19</f>
        <v>0</v>
      </c>
      <c r="AD53" s="29">
        <f>Q53*1.1*0.338*0.04*$E$4/1000</f>
        <v>6.6924000000000025E-2</v>
      </c>
      <c r="AE53" s="30">
        <f t="shared" si="19"/>
        <v>91000</v>
      </c>
      <c r="AF53" s="31">
        <f t="shared" si="20"/>
        <v>60.333333333333336</v>
      </c>
      <c r="AG53" s="96" t="e">
        <f t="shared" si="21"/>
        <v>#VALUE!</v>
      </c>
      <c r="AH53" s="57" t="str">
        <f t="shared" si="22"/>
        <v>Maxus EV80 chassi 56 kWh</v>
      </c>
      <c r="AI53" s="57">
        <v>47</v>
      </c>
      <c r="AJ53" s="57"/>
    </row>
    <row r="54" spans="1:36" x14ac:dyDescent="0.35">
      <c r="B54" s="47" t="s">
        <v>70</v>
      </c>
      <c r="C54" s="93" t="s">
        <v>1</v>
      </c>
      <c r="D54" s="51" t="s">
        <v>121</v>
      </c>
      <c r="E54" s="33">
        <v>369900</v>
      </c>
      <c r="F54" s="38">
        <v>44237</v>
      </c>
      <c r="G54" s="92">
        <v>-10000</v>
      </c>
      <c r="H54" s="24">
        <f t="shared" si="13"/>
        <v>359900</v>
      </c>
      <c r="I54" s="23">
        <f>36*PMT(0.04/12*0.7,36,-H54,E54*'restvärde o service'!$F$19)</f>
        <v>220328.76806320218</v>
      </c>
      <c r="J54" s="24">
        <f>36*PMT(0.04/12,36,-H54*0.9,0.9*E54*'restvärde o service'!$F$19)</f>
        <v>206945.80829250632</v>
      </c>
      <c r="K54" s="76">
        <v>36</v>
      </c>
      <c r="L54" s="24">
        <f>ROUNDDOWN(J54/3,-3)</f>
        <v>68000</v>
      </c>
      <c r="M54" s="88">
        <f t="shared" si="14"/>
        <v>0.74725274725274726</v>
      </c>
      <c r="N54" s="24">
        <f>ROUND(3840*12,-2)</f>
        <v>46100</v>
      </c>
      <c r="O54" s="24">
        <f t="shared" si="15"/>
        <v>14500</v>
      </c>
      <c r="P54" s="24">
        <f t="shared" si="16"/>
        <v>3841.6666666666665</v>
      </c>
      <c r="Q54" s="67">
        <f>(AB54-53)/275</f>
        <v>0.61818181818181817</v>
      </c>
      <c r="R54" s="84">
        <f>Q54*13</f>
        <v>8.0363636363636353</v>
      </c>
      <c r="S54" s="33">
        <f>360+(AB54-111)*11</f>
        <v>1592</v>
      </c>
      <c r="T54" s="33"/>
      <c r="U54" s="95">
        <f t="shared" si="24"/>
        <v>1.0613333333333332</v>
      </c>
      <c r="V54" s="95">
        <f t="shared" si="17"/>
        <v>13.599999999999998</v>
      </c>
      <c r="W54" s="95">
        <f>R54/13*1.1*$O$2*0.8</f>
        <v>10.879999999999999</v>
      </c>
      <c r="X54" s="61">
        <f t="shared" si="18"/>
        <v>0.17991004497751123</v>
      </c>
      <c r="Y54" s="34">
        <f t="shared" si="23"/>
        <v>4</v>
      </c>
      <c r="Z54" s="95">
        <f>'restvärde o service'!$I$19</f>
        <v>3.2</v>
      </c>
      <c r="AA54" s="91"/>
      <c r="AB54" s="36">
        <v>223</v>
      </c>
      <c r="AC54" s="23">
        <f>'restvärde o service'!$J$19+'restvärde o service'!$K$19</f>
        <v>0</v>
      </c>
      <c r="AD54" s="37">
        <f>Q54*1.1*0.338*0.2*13*$E$4/1000</f>
        <v>0.89637600000000017</v>
      </c>
      <c r="AE54" s="30">
        <f t="shared" si="19"/>
        <v>91000</v>
      </c>
      <c r="AF54" s="31">
        <f t="shared" si="20"/>
        <v>60.474666666666664</v>
      </c>
      <c r="AG54" s="96">
        <f t="shared" si="21"/>
        <v>0</v>
      </c>
      <c r="AH54" s="57" t="str">
        <f t="shared" si="22"/>
        <v>DFSK Fengon 5 Biogashybrid, förmånsv. 3800 kr/mån brutto</v>
      </c>
      <c r="AI54" s="57">
        <v>48</v>
      </c>
      <c r="AJ54" s="58"/>
    </row>
    <row r="55" spans="1:36" x14ac:dyDescent="0.35">
      <c r="A55" s="6" t="s">
        <v>94</v>
      </c>
      <c r="B55" s="47" t="s">
        <v>70</v>
      </c>
      <c r="C55" s="93" t="s">
        <v>69</v>
      </c>
      <c r="D55" s="70" t="s">
        <v>151</v>
      </c>
      <c r="E55" s="33">
        <v>469900</v>
      </c>
      <c r="F55" s="39">
        <v>44224</v>
      </c>
      <c r="G55" s="92">
        <f>-(45000-(583.33*AB55))</f>
        <v>-27500.1</v>
      </c>
      <c r="H55" s="24">
        <f t="shared" si="13"/>
        <v>442399.9</v>
      </c>
      <c r="I55" s="23">
        <f>36*PMT(0.04/12*0.7,36,-H55,E55*'restvärde o service'!$F$19)</f>
        <v>264449.11024971458</v>
      </c>
      <c r="J55" s="24">
        <f>36*PMT(0.04/12,36,-H55*0.9,0.9*E55*'restvärde o service'!$F$19)</f>
        <v>248738.07581088718</v>
      </c>
      <c r="K55" s="76">
        <v>36</v>
      </c>
      <c r="L55" s="24">
        <f>ROUNDDOWN(J55/3,-3)</f>
        <v>82000</v>
      </c>
      <c r="M55" s="88">
        <f t="shared" si="14"/>
        <v>0.87234042553191493</v>
      </c>
      <c r="N55" s="25">
        <v>40976</v>
      </c>
      <c r="O55" s="24">
        <f t="shared" si="15"/>
        <v>12900</v>
      </c>
      <c r="P55" s="24">
        <f t="shared" si="16"/>
        <v>3414.6666666666665</v>
      </c>
      <c r="Q55" s="26"/>
      <c r="R55" s="85">
        <f>((0.5*9*(1-$H$3))+($H$3*1.75))*1.1</f>
        <v>3.4375000000000004</v>
      </c>
      <c r="S55" s="24">
        <v>360</v>
      </c>
      <c r="T55" s="24"/>
      <c r="U55" s="95">
        <f t="shared" si="24"/>
        <v>0.24</v>
      </c>
      <c r="V55" s="95">
        <f t="shared" si="17"/>
        <v>5.9812500000000011</v>
      </c>
      <c r="W55" s="95">
        <f>0.8*((0.5*$O$5*(1-$H$3))+(($H$3*1.75)*$O$1))*1.1</f>
        <v>4.785000000000001</v>
      </c>
      <c r="X55" s="61">
        <f t="shared" si="18"/>
        <v>7.6083211872267131E-2</v>
      </c>
      <c r="Y55" s="34">
        <f t="shared" si="23"/>
        <v>4</v>
      </c>
      <c r="Z55" s="95">
        <f>'restvärde o service'!$I$19</f>
        <v>3.2</v>
      </c>
      <c r="AA55" s="35"/>
      <c r="AB55" s="36">
        <v>30</v>
      </c>
      <c r="AC55" s="23">
        <f>'restvärde o service'!$J$19+'restvärde o service'!$K$19</f>
        <v>0</v>
      </c>
      <c r="AD55" s="37">
        <f>(R55-($H$3*1.75))*$E$4*0.338/1000</f>
        <v>1.2991875000000002</v>
      </c>
      <c r="AE55" s="30">
        <f t="shared" si="19"/>
        <v>94000</v>
      </c>
      <c r="AF55" s="31">
        <f t="shared" si="20"/>
        <v>62.891666666666673</v>
      </c>
      <c r="AG55" s="96">
        <f t="shared" si="21"/>
        <v>0</v>
      </c>
      <c r="AH55" s="57" t="str">
        <f t="shared" si="22"/>
        <v>VW Passat GTE kombi laddhybrid, förmånsv. 3400 kr/mån brutto</v>
      </c>
      <c r="AI55" s="57">
        <v>49</v>
      </c>
      <c r="AJ55" s="58"/>
    </row>
    <row r="56" spans="1:36" x14ac:dyDescent="0.35">
      <c r="B56" s="47" t="s">
        <v>70</v>
      </c>
      <c r="C56" s="93" t="s">
        <v>69</v>
      </c>
      <c r="D56" s="50" t="s">
        <v>176</v>
      </c>
      <c r="E56" s="33">
        <v>463900</v>
      </c>
      <c r="F56" s="39">
        <v>44224</v>
      </c>
      <c r="G56" s="92">
        <f>-(45000-(583.33*31))</f>
        <v>-26916.77</v>
      </c>
      <c r="H56" s="24">
        <f t="shared" si="13"/>
        <v>436983.23</v>
      </c>
      <c r="I56" s="23">
        <f>36*PMT(0.04/12*0.7,36,-H56,E56*'restvärde o service'!$F$19)</f>
        <v>261314.79502898312</v>
      </c>
      <c r="J56" s="24">
        <f>36*PMT(0.04/12,36,-H56*0.9,0.9*E56*'restvärde o service'!$F$19)</f>
        <v>245784.12817842778</v>
      </c>
      <c r="K56" s="76">
        <v>36</v>
      </c>
      <c r="L56" s="24">
        <f>ROUNDDOWN(J56/3,-3)</f>
        <v>81000</v>
      </c>
      <c r="M56" s="88">
        <f t="shared" si="14"/>
        <v>0.86170212765957444</v>
      </c>
      <c r="N56" s="25">
        <v>43667</v>
      </c>
      <c r="O56" s="24">
        <f t="shared" si="15"/>
        <v>13700</v>
      </c>
      <c r="P56" s="24">
        <f t="shared" si="16"/>
        <v>3638.9166666666665</v>
      </c>
      <c r="Q56" s="26"/>
      <c r="R56" s="85">
        <f>((0.5*9*(1-$H$3))+($H$3*1.75))*1.26</f>
        <v>3.9375</v>
      </c>
      <c r="S56" s="24">
        <v>360</v>
      </c>
      <c r="T56" s="24"/>
      <c r="U56" s="95">
        <f t="shared" si="24"/>
        <v>0.24</v>
      </c>
      <c r="V56" s="95">
        <f t="shared" si="17"/>
        <v>6.8512500000000003</v>
      </c>
      <c r="W56" s="95">
        <f>0.8*((0.5*$O$5*(1-$H$3))+(($H$3*1.75)*$O$1))*1.26</f>
        <v>5.4810000000000008</v>
      </c>
      <c r="X56" s="61">
        <f t="shared" si="18"/>
        <v>8.710923221182118E-2</v>
      </c>
      <c r="Y56" s="34">
        <f t="shared" si="23"/>
        <v>4</v>
      </c>
      <c r="Z56" s="95">
        <f>'restvärde o service'!$I$19</f>
        <v>3.2</v>
      </c>
      <c r="AA56" s="35"/>
      <c r="AB56" s="45" t="s">
        <v>52</v>
      </c>
      <c r="AC56" s="23">
        <f>'restvärde o service'!$J$19+'restvärde o service'!$K$19</f>
        <v>0</v>
      </c>
      <c r="AD56" s="37">
        <f>(R56-($H$3*1.75))*$E$4*0.338/1000</f>
        <v>1.5526875</v>
      </c>
      <c r="AE56" s="30">
        <f t="shared" si="19"/>
        <v>94000</v>
      </c>
      <c r="AF56" s="31">
        <f t="shared" si="20"/>
        <v>62.921000000000006</v>
      </c>
      <c r="AG56" s="96">
        <f t="shared" si="21"/>
        <v>0</v>
      </c>
      <c r="AH56" s="57" t="str">
        <f t="shared" si="22"/>
        <v>VW Tiguan elegance e-hybrid, laddhyb, förmånsv. 3600 kr/mån brutto</v>
      </c>
      <c r="AI56" s="57">
        <v>50</v>
      </c>
      <c r="AJ56" s="58"/>
    </row>
    <row r="57" spans="1:36" x14ac:dyDescent="0.35">
      <c r="B57" s="47" t="s">
        <v>71</v>
      </c>
      <c r="C57" s="47" t="s">
        <v>68</v>
      </c>
      <c r="D57" s="50" t="s">
        <v>86</v>
      </c>
      <c r="E57" s="33">
        <f>529400/0.8</f>
        <v>661750</v>
      </c>
      <c r="F57" s="39">
        <v>44246</v>
      </c>
      <c r="G57" s="92">
        <v>-70000</v>
      </c>
      <c r="H57" s="24">
        <f t="shared" si="13"/>
        <v>591750</v>
      </c>
      <c r="I57" s="23">
        <f>60*PMT(0.04/12*0.7,60,-H57,E57*'restvärde o service'!$F$19)</f>
        <v>364768.35238363652</v>
      </c>
      <c r="J57" s="24">
        <f>60*PMT(0.04/12,60,-H57*0.9,0.9*E57*'restvärde o service'!$G$19)</f>
        <v>426793.69179983402</v>
      </c>
      <c r="K57" s="76">
        <v>60</v>
      </c>
      <c r="L57" s="24">
        <f>ROUNDDOWN(J57/5,-3)</f>
        <v>85000</v>
      </c>
      <c r="M57" s="88">
        <f t="shared" si="14"/>
        <v>0.89473684210526316</v>
      </c>
      <c r="N57" s="25">
        <v>51646</v>
      </c>
      <c r="O57" s="24">
        <f t="shared" si="15"/>
        <v>16200</v>
      </c>
      <c r="P57" s="24">
        <f t="shared" si="16"/>
        <v>4303.833333333333</v>
      </c>
      <c r="Q57" s="67">
        <v>3.2</v>
      </c>
      <c r="R57" s="84">
        <f>Q57</f>
        <v>3.2</v>
      </c>
      <c r="S57" s="24">
        <v>360</v>
      </c>
      <c r="T57" s="24"/>
      <c r="U57" s="95">
        <f t="shared" si="24"/>
        <v>0.24</v>
      </c>
      <c r="V57" s="95">
        <f t="shared" si="17"/>
        <v>5.2800000000000011</v>
      </c>
      <c r="W57" s="95">
        <f>Q57*1.1*$O$1*0.8</f>
        <v>4.2240000000000011</v>
      </c>
      <c r="X57" s="61">
        <f t="shared" si="18"/>
        <v>6.676783004552353E-2</v>
      </c>
      <c r="Y57" s="34">
        <f t="shared" si="23"/>
        <v>2.6666666666666665</v>
      </c>
      <c r="Z57" s="95">
        <f>'restvärde o service'!$I$19*2/3</f>
        <v>2.1333333333333333</v>
      </c>
      <c r="AA57" s="35"/>
      <c r="AB57" s="24"/>
      <c r="AC57" s="23">
        <f>'restvärde o service'!$J$19+'restvärde o service'!$K$19</f>
        <v>0</v>
      </c>
      <c r="AD57" s="29">
        <f>Q57*1.1*0.338*0.04*$E$4/1000</f>
        <v>7.1385600000000007E-2</v>
      </c>
      <c r="AE57" s="30">
        <f t="shared" si="19"/>
        <v>95000</v>
      </c>
      <c r="AF57" s="31">
        <f t="shared" si="20"/>
        <v>63.264000000000003</v>
      </c>
      <c r="AG57" s="96">
        <f t="shared" si="21"/>
        <v>0</v>
      </c>
      <c r="AH57" s="57" t="str">
        <f t="shared" si="22"/>
        <v xml:space="preserve">VW ABT e-Transporter, förmånsv. 4300 kr/mån brutto </v>
      </c>
      <c r="AI57" s="57">
        <v>51</v>
      </c>
      <c r="AJ57" s="62" t="s">
        <v>57</v>
      </c>
    </row>
    <row r="58" spans="1:36" x14ac:dyDescent="0.35">
      <c r="B58" s="47" t="s">
        <v>71</v>
      </c>
      <c r="C58" s="47" t="s">
        <v>1</v>
      </c>
      <c r="D58" s="50" t="s">
        <v>156</v>
      </c>
      <c r="E58" s="25">
        <v>473750</v>
      </c>
      <c r="F58" s="39">
        <v>44309</v>
      </c>
      <c r="G58" s="92">
        <v>-10000</v>
      </c>
      <c r="H58" s="24">
        <f t="shared" si="13"/>
        <v>463750</v>
      </c>
      <c r="I58" s="23"/>
      <c r="J58" s="24">
        <f>60*PMT(0.04/12,60,-H58*0.9,0.9*E58*'restvärde o service'!$G$19)</f>
        <v>345436.05092535214</v>
      </c>
      <c r="K58" s="76">
        <v>60</v>
      </c>
      <c r="L58" s="24">
        <f>ROUNDDOWN(J58/5,-3)</f>
        <v>69000</v>
      </c>
      <c r="M58" s="88">
        <f t="shared" si="14"/>
        <v>0.71134020618556704</v>
      </c>
      <c r="N58" s="25">
        <v>77300</v>
      </c>
      <c r="O58" s="24">
        <f t="shared" si="15"/>
        <v>24300</v>
      </c>
      <c r="P58" s="24">
        <f t="shared" si="16"/>
        <v>6441.666666666667</v>
      </c>
      <c r="Q58" s="67">
        <f>AB58/275</f>
        <v>0.80727272727272725</v>
      </c>
      <c r="R58" s="84">
        <f>Q58*13</f>
        <v>10.494545454545454</v>
      </c>
      <c r="S58" s="33">
        <f>360+(AB58-111)*11</f>
        <v>1581</v>
      </c>
      <c r="T58" s="33"/>
      <c r="U58" s="95">
        <f t="shared" si="24"/>
        <v>1.054</v>
      </c>
      <c r="V58" s="95">
        <f t="shared" si="17"/>
        <v>17.760000000000002</v>
      </c>
      <c r="W58" s="95">
        <f>R58/13*1.1*$O$2*0.8</f>
        <v>14.208000000000002</v>
      </c>
      <c r="X58" s="61">
        <f t="shared" si="18"/>
        <v>0.22040892308646956</v>
      </c>
      <c r="Y58" s="34">
        <f t="shared" si="23"/>
        <v>4</v>
      </c>
      <c r="Z58" s="95">
        <f>'restvärde o service'!$I$19</f>
        <v>3.2</v>
      </c>
      <c r="AA58" s="91"/>
      <c r="AB58" s="41">
        <v>222</v>
      </c>
      <c r="AC58" s="23">
        <f>'restvärde o service'!$J$19+'restvärde o service'!$K$19</f>
        <v>0</v>
      </c>
      <c r="AD58" s="37">
        <f>Q58*1.1*0.338*0.2*13*$E$4/1000</f>
        <v>1.1705616000000003</v>
      </c>
      <c r="AE58" s="30">
        <f t="shared" si="19"/>
        <v>97000</v>
      </c>
      <c r="AF58" s="31">
        <f t="shared" si="20"/>
        <v>64.462000000000003</v>
      </c>
      <c r="AG58" s="96">
        <f t="shared" si="21"/>
        <v>0</v>
      </c>
      <c r="AH58" s="59" t="str">
        <f t="shared" si="22"/>
        <v>Iveco Daily 3.0 Natural Power (biogas), förmånsv. 6400 kr/mån brutto</v>
      </c>
      <c r="AI58" s="57">
        <v>52</v>
      </c>
      <c r="AJ58" s="57"/>
    </row>
    <row r="59" spans="1:36" x14ac:dyDescent="0.35">
      <c r="B59" s="47" t="s">
        <v>70</v>
      </c>
      <c r="C59" s="93" t="s">
        <v>68</v>
      </c>
      <c r="D59" s="50" t="s">
        <v>162</v>
      </c>
      <c r="E59" s="33">
        <v>579900</v>
      </c>
      <c r="F59" s="39"/>
      <c r="G59" s="92">
        <v>-70000</v>
      </c>
      <c r="H59" s="24">
        <f t="shared" si="13"/>
        <v>509900</v>
      </c>
      <c r="I59" s="23"/>
      <c r="J59" s="24">
        <f>36*PMT(0.04/12,36,-H59*0.9,0.9*E59*'restvärde o service'!$F$19)</f>
        <v>272469.35305664473</v>
      </c>
      <c r="K59" s="76">
        <v>36</v>
      </c>
      <c r="L59" s="24">
        <f>ROUNDDOWN(J59/3,-3)</f>
        <v>90000</v>
      </c>
      <c r="M59" s="88">
        <f t="shared" si="14"/>
        <v>0.92783505154639179</v>
      </c>
      <c r="N59" s="89">
        <v>45000</v>
      </c>
      <c r="O59" s="24">
        <f t="shared" si="15"/>
        <v>14100</v>
      </c>
      <c r="P59" s="24">
        <f t="shared" si="16"/>
        <v>3750</v>
      </c>
      <c r="Q59" s="67">
        <v>1.67</v>
      </c>
      <c r="R59" s="84">
        <f>Q59</f>
        <v>1.67</v>
      </c>
      <c r="S59" s="24">
        <v>360</v>
      </c>
      <c r="T59" s="24"/>
      <c r="U59" s="95">
        <f t="shared" si="24"/>
        <v>0.24</v>
      </c>
      <c r="V59" s="95">
        <f t="shared" si="17"/>
        <v>2.7555000000000001</v>
      </c>
      <c r="W59" s="95">
        <f>Q59*1.1*$O$1*0.8</f>
        <v>2.2044000000000001</v>
      </c>
      <c r="X59" s="61">
        <f t="shared" si="18"/>
        <v>3.4135605048592602E-2</v>
      </c>
      <c r="Y59" s="34"/>
      <c r="Z59" s="95">
        <f>'restvärde o service'!$I$19*2/3</f>
        <v>2.1333333333333333</v>
      </c>
      <c r="AA59" s="35"/>
      <c r="AB59" s="24"/>
      <c r="AC59" s="23">
        <f>'restvärde o service'!$J$19+'restvärde o service'!$K$19</f>
        <v>0</v>
      </c>
      <c r="AD59" s="29">
        <f>Q59*1.1*0.338*0.04*$E$4/1000</f>
        <v>3.7254360000000007E-2</v>
      </c>
      <c r="AE59" s="30">
        <f t="shared" si="19"/>
        <v>97000</v>
      </c>
      <c r="AF59" s="31">
        <f t="shared" si="20"/>
        <v>64.577733333333342</v>
      </c>
      <c r="AG59" s="96">
        <f t="shared" si="21"/>
        <v>0</v>
      </c>
      <c r="AH59" s="57" t="str">
        <f t="shared" si="22"/>
        <v xml:space="preserve">Hyundai Ioniq 5 1st Edition 72 kWh RWD, förmånsv. ca 4000 kr/mån brutto </v>
      </c>
      <c r="AI59" s="57">
        <v>53</v>
      </c>
      <c r="AJ59" s="90" t="s">
        <v>161</v>
      </c>
    </row>
    <row r="60" spans="1:36" x14ac:dyDescent="0.35">
      <c r="B60" s="47" t="s">
        <v>71</v>
      </c>
      <c r="C60" s="47" t="s">
        <v>68</v>
      </c>
      <c r="D60" s="50" t="s">
        <v>168</v>
      </c>
      <c r="E60" s="33">
        <f>547400/0.8</f>
        <v>684250</v>
      </c>
      <c r="F60" s="39">
        <v>44246</v>
      </c>
      <c r="G60" s="92">
        <v>-70000</v>
      </c>
      <c r="H60" s="24">
        <f t="shared" si="13"/>
        <v>614250</v>
      </c>
      <c r="I60" s="23">
        <f>60*PMT(0.04/12*0.7,60,-H60,E60*'restvärde o service'!$F$19)</f>
        <v>379724.06584229058</v>
      </c>
      <c r="J60" s="24">
        <f>60*PMT(0.04/12,60,-H60*0.9,0.9*E60*'restvärde o service'!$G$19)</f>
        <v>443671.94380783808</v>
      </c>
      <c r="K60" s="76">
        <v>60</v>
      </c>
      <c r="L60" s="24">
        <f>ROUNDDOWN(J60/5,-3)</f>
        <v>88000</v>
      </c>
      <c r="M60" s="88">
        <f t="shared" si="14"/>
        <v>0.89795918367346939</v>
      </c>
      <c r="N60" s="25" t="s">
        <v>91</v>
      </c>
      <c r="O60" s="24" t="e">
        <f t="shared" si="15"/>
        <v>#VALUE!</v>
      </c>
      <c r="P60" s="24" t="e">
        <f t="shared" si="16"/>
        <v>#VALUE!</v>
      </c>
      <c r="Q60" s="67">
        <v>3.1</v>
      </c>
      <c r="R60" s="84">
        <f>Q60</f>
        <v>3.1</v>
      </c>
      <c r="S60" s="24">
        <v>360</v>
      </c>
      <c r="T60" s="24"/>
      <c r="U60" s="95">
        <f t="shared" si="24"/>
        <v>0.24</v>
      </c>
      <c r="V60" s="95">
        <f t="shared" si="17"/>
        <v>5.1150000000000011</v>
      </c>
      <c r="W60" s="95">
        <f>Q60*1.1*$O$1*0.8</f>
        <v>4.0920000000000014</v>
      </c>
      <c r="X60" s="61">
        <f t="shared" si="18"/>
        <v>6.2826260517103744E-2</v>
      </c>
      <c r="Y60" s="34">
        <f>Z60*1.25</f>
        <v>2.6666666666666665</v>
      </c>
      <c r="Z60" s="95">
        <f>'restvärde o service'!$I$19*2/3</f>
        <v>2.1333333333333333</v>
      </c>
      <c r="AA60" s="35"/>
      <c r="AB60" s="24"/>
      <c r="AC60" s="23">
        <f>'restvärde o service'!$J$19+'restvärde o service'!$K$19</f>
        <v>0</v>
      </c>
      <c r="AD60" s="29">
        <f>Q60*1.1*0.338*0.04*$E$4/1000</f>
        <v>6.9154800000000016E-2</v>
      </c>
      <c r="AE60" s="30">
        <f t="shared" si="19"/>
        <v>98000</v>
      </c>
      <c r="AF60" s="31">
        <f t="shared" si="20"/>
        <v>65.132000000000005</v>
      </c>
      <c r="AG60" s="96" t="e">
        <f t="shared" si="21"/>
        <v>#VALUE!</v>
      </c>
      <c r="AH60" s="57" t="str">
        <f t="shared" si="22"/>
        <v>Maxus EV80 H3 11,5 kbm 56 kWh, förmånsv. 9 526 kr/mån</v>
      </c>
      <c r="AI60" s="57">
        <v>54</v>
      </c>
      <c r="AJ60" s="57"/>
    </row>
    <row r="61" spans="1:36" x14ac:dyDescent="0.35">
      <c r="B61" s="47" t="s">
        <v>71</v>
      </c>
      <c r="C61" s="47" t="s">
        <v>68</v>
      </c>
      <c r="D61" s="50" t="s">
        <v>157</v>
      </c>
      <c r="E61" s="25">
        <f>550000/0.8</f>
        <v>687500</v>
      </c>
      <c r="F61" s="39">
        <v>44246</v>
      </c>
      <c r="G61" s="92">
        <v>-70000</v>
      </c>
      <c r="H61" s="24">
        <f t="shared" si="13"/>
        <v>617500</v>
      </c>
      <c r="I61" s="23">
        <f>60*PMT(0.04/12*0.7,60,-H61,E61*'restvärde o service'!$F$19)</f>
        <v>381884.33556409617</v>
      </c>
      <c r="J61" s="24">
        <f>60*PMT(0.04/12,60,-H61*0.9,0.9*E61*'restvärde o service'!$G$19)</f>
        <v>446109.91354232753</v>
      </c>
      <c r="K61" s="76">
        <v>60</v>
      </c>
      <c r="L61" s="24">
        <f>ROUNDDOWN(J61/5,-3)</f>
        <v>89000</v>
      </c>
      <c r="M61" s="88">
        <f t="shared" si="14"/>
        <v>0.89898989898989901</v>
      </c>
      <c r="N61" s="25">
        <v>51605</v>
      </c>
      <c r="O61" s="24">
        <f t="shared" si="15"/>
        <v>16200</v>
      </c>
      <c r="P61" s="24">
        <f t="shared" si="16"/>
        <v>4300.416666666667</v>
      </c>
      <c r="Q61" s="67">
        <v>3.23</v>
      </c>
      <c r="R61" s="84">
        <f>Q61</f>
        <v>3.23</v>
      </c>
      <c r="S61" s="24">
        <v>360</v>
      </c>
      <c r="T61" s="24"/>
      <c r="U61" s="95">
        <f t="shared" si="24"/>
        <v>0.24</v>
      </c>
      <c r="V61" s="95">
        <f t="shared" si="17"/>
        <v>5.3295000000000003</v>
      </c>
      <c r="W61" s="95">
        <f>Q61*1.1*$O$1*0.8</f>
        <v>4.2636000000000003</v>
      </c>
      <c r="X61" s="61">
        <f t="shared" si="18"/>
        <v>6.4629115743051913E-2</v>
      </c>
      <c r="Y61" s="34">
        <f>Z61*1.25</f>
        <v>2.6666666666666665</v>
      </c>
      <c r="Z61" s="95">
        <f>'restvärde o service'!$I$19*2/3</f>
        <v>2.1333333333333333</v>
      </c>
      <c r="AA61" s="35"/>
      <c r="AB61" s="24"/>
      <c r="AC61" s="23">
        <f>'restvärde o service'!$J$19+'restvärde o service'!$K$19</f>
        <v>0</v>
      </c>
      <c r="AD61" s="29">
        <f>Q61*1.1*0.338*0.04*$E$4/1000</f>
        <v>7.2054840000000009E-2</v>
      </c>
      <c r="AE61" s="30">
        <f t="shared" si="19"/>
        <v>99000</v>
      </c>
      <c r="AF61" s="31">
        <f t="shared" si="20"/>
        <v>65.970266666666674</v>
      </c>
      <c r="AG61" s="96">
        <f t="shared" si="21"/>
        <v>0</v>
      </c>
      <c r="AH61" s="59" t="str">
        <f t="shared" si="22"/>
        <v xml:space="preserve">Renault Master ZE (el) L2H2, förmånsv. 4300 kr/mån brutto </v>
      </c>
      <c r="AI61" s="57">
        <v>55</v>
      </c>
      <c r="AJ61" s="57"/>
    </row>
    <row r="62" spans="1:36" x14ac:dyDescent="0.35">
      <c r="A62" s="6" t="s">
        <v>94</v>
      </c>
      <c r="B62" s="47" t="s">
        <v>70</v>
      </c>
      <c r="C62" s="93" t="s">
        <v>3</v>
      </c>
      <c r="D62" s="70" t="s">
        <v>122</v>
      </c>
      <c r="E62" s="33">
        <v>377000</v>
      </c>
      <c r="F62" s="39">
        <v>44224</v>
      </c>
      <c r="G62" s="92"/>
      <c r="H62" s="24">
        <f t="shared" si="13"/>
        <v>377000</v>
      </c>
      <c r="I62" s="23">
        <f>36*PMT(0.04/12*0.7,36,-H62,E62*'restvärde o service'!$F$19)</f>
        <v>235195.71803933135</v>
      </c>
      <c r="J62" s="24">
        <f>36*PMT(0.04/12,36,-H62*0.9,0.9*E62*'restvärde o service'!$F$19)</f>
        <v>220667.38428464675</v>
      </c>
      <c r="K62" s="76">
        <v>36</v>
      </c>
      <c r="L62" s="24">
        <f>ROUNDDOWN(J62/3,-3)</f>
        <v>73000</v>
      </c>
      <c r="M62" s="88">
        <f t="shared" si="14"/>
        <v>0.73</v>
      </c>
      <c r="N62" s="24">
        <v>53300</v>
      </c>
      <c r="O62" s="24">
        <f t="shared" si="15"/>
        <v>16700</v>
      </c>
      <c r="P62" s="24">
        <f t="shared" si="16"/>
        <v>4441.666666666667</v>
      </c>
      <c r="Q62" s="67">
        <v>0.56000000000000005</v>
      </c>
      <c r="R62" s="84">
        <f>Q62*9.77</f>
        <v>5.4712000000000005</v>
      </c>
      <c r="S62" s="25">
        <f>IF(AB62&gt;130,(360+250+4280+((AB62-130)*132)+(AB62*13.52)),(360+250+(107*(AB62-90)+AB62*13.52)))</f>
        <v>8975.92</v>
      </c>
      <c r="T62" s="25"/>
      <c r="U62" s="95">
        <f t="shared" si="24"/>
        <v>5.9839466666666663</v>
      </c>
      <c r="V62" s="95">
        <f t="shared" si="17"/>
        <v>11.396000000000003</v>
      </c>
      <c r="W62" s="95">
        <f>Q62*1.1*$O$3*0.8</f>
        <v>9.1168000000000031</v>
      </c>
      <c r="X62" s="61">
        <f t="shared" si="18"/>
        <v>0.13613785490893485</v>
      </c>
      <c r="Y62" s="34">
        <f>Z62*1.25</f>
        <v>4</v>
      </c>
      <c r="Z62" s="95">
        <f>'restvärde o service'!$I$19</f>
        <v>3.2</v>
      </c>
      <c r="AA62" s="35"/>
      <c r="AB62" s="36">
        <v>146</v>
      </c>
      <c r="AC62" s="23">
        <f>'restvärde o service'!$J$19+'restvärde o service'!$K$19</f>
        <v>0</v>
      </c>
      <c r="AD62" s="37">
        <f>Q62*1.1*0.338*0.2*9.8*$E$4/1000</f>
        <v>0.61213152000000026</v>
      </c>
      <c r="AE62" s="30">
        <f t="shared" si="19"/>
        <v>100000</v>
      </c>
      <c r="AF62" s="31">
        <f t="shared" si="20"/>
        <v>66.96741333333334</v>
      </c>
      <c r="AG62" s="96">
        <f t="shared" si="21"/>
        <v>0</v>
      </c>
      <c r="AH62" s="57" t="str">
        <f t="shared" si="22"/>
        <v xml:space="preserve">Volvo V60 B4 HVO100, förmånsv. 4400 kr/mån brutto </v>
      </c>
      <c r="AI62" s="57">
        <v>56</v>
      </c>
      <c r="AJ62" s="58"/>
    </row>
    <row r="63" spans="1:36" x14ac:dyDescent="0.35">
      <c r="A63" s="6" t="s">
        <v>94</v>
      </c>
      <c r="B63" s="47" t="s">
        <v>70</v>
      </c>
      <c r="C63" s="93" t="s">
        <v>68</v>
      </c>
      <c r="D63" s="82" t="s">
        <v>144</v>
      </c>
      <c r="E63" s="33">
        <v>589000</v>
      </c>
      <c r="F63" s="39">
        <v>44312</v>
      </c>
      <c r="G63" s="92">
        <v>-70000</v>
      </c>
      <c r="H63" s="24">
        <f t="shared" si="13"/>
        <v>519000</v>
      </c>
      <c r="I63" s="23">
        <f>36*PMT(0.04/12*0.7,36,-H63,E63*'restvärde o service'!$F$19)</f>
        <v>294391.57592762879</v>
      </c>
      <c r="J63" s="24">
        <f>36*PMT(0.04/12,36,-H63*0.9,0.9*E63*'restvärde o service'!$F$19)</f>
        <v>277795.8071600672</v>
      </c>
      <c r="K63" s="76">
        <v>36</v>
      </c>
      <c r="L63" s="24">
        <f>ROUNDDOWN(J63/3,-3)</f>
        <v>92000</v>
      </c>
      <c r="M63" s="88">
        <f t="shared" si="14"/>
        <v>0.92929292929292928</v>
      </c>
      <c r="N63" s="25">
        <v>51900</v>
      </c>
      <c r="O63" s="24">
        <f t="shared" si="15"/>
        <v>16300</v>
      </c>
      <c r="P63" s="24">
        <f t="shared" si="16"/>
        <v>4325</v>
      </c>
      <c r="Q63" s="67">
        <v>1.92</v>
      </c>
      <c r="R63" s="84">
        <f>Q63</f>
        <v>1.92</v>
      </c>
      <c r="S63" s="24">
        <v>360</v>
      </c>
      <c r="T63" s="24"/>
      <c r="U63" s="95">
        <f t="shared" si="24"/>
        <v>0.24</v>
      </c>
      <c r="V63" s="95">
        <f t="shared" si="17"/>
        <v>3.1680000000000001</v>
      </c>
      <c r="W63" s="95">
        <f>Q63*1.1*$O$1*0.8</f>
        <v>2.5344000000000002</v>
      </c>
      <c r="X63" s="61">
        <f t="shared" si="18"/>
        <v>3.8260253458076356E-2</v>
      </c>
      <c r="Y63" s="34">
        <f>Z63*1.25</f>
        <v>2.6666666666666665</v>
      </c>
      <c r="Z63" s="95">
        <f>'restvärde o service'!$I$19*2/3</f>
        <v>2.1333333333333333</v>
      </c>
      <c r="AA63" s="35"/>
      <c r="AB63" s="24"/>
      <c r="AC63" s="23">
        <f>'restvärde o service'!$J$19+'restvärde o service'!$K$19</f>
        <v>0</v>
      </c>
      <c r="AD63" s="29">
        <f>Q63*1.1*0.338*0.04*$E$4/1000</f>
        <v>4.2831360000000006E-2</v>
      </c>
      <c r="AE63" s="30">
        <f t="shared" si="19"/>
        <v>99000</v>
      </c>
      <c r="AF63" s="31">
        <f t="shared" si="20"/>
        <v>66.241066666666683</v>
      </c>
      <c r="AG63" s="96">
        <f t="shared" si="21"/>
        <v>0</v>
      </c>
      <c r="AH63" s="57" t="str">
        <f t="shared" si="22"/>
        <v>Polestar 2 LR AWD (el), förmånsv. 4300 kr/mån brutto</v>
      </c>
      <c r="AI63" s="57">
        <v>57</v>
      </c>
      <c r="AJ63" s="57"/>
    </row>
    <row r="64" spans="1:36" x14ac:dyDescent="0.35">
      <c r="B64" s="47" t="s">
        <v>71</v>
      </c>
      <c r="C64" s="47" t="s">
        <v>69</v>
      </c>
      <c r="D64" s="50" t="s">
        <v>134</v>
      </c>
      <c r="E64" s="25">
        <v>571200</v>
      </c>
      <c r="F64" s="39">
        <v>44313</v>
      </c>
      <c r="G64" s="92">
        <v>0</v>
      </c>
      <c r="H64" s="24">
        <f t="shared" si="13"/>
        <v>571200</v>
      </c>
      <c r="I64" s="23"/>
      <c r="J64" s="24">
        <f>60*PMT(0.04/12,60,-H64*0.9,0.9*E64*'restvärde o service'!$G$19)</f>
        <v>428482.55764319561</v>
      </c>
      <c r="K64" s="76">
        <v>60</v>
      </c>
      <c r="L64" s="24">
        <f>ROUNDDOWN(J64/5,-3)</f>
        <v>85000</v>
      </c>
      <c r="M64" s="77">
        <f t="shared" si="14"/>
        <v>0.84158415841584155</v>
      </c>
      <c r="N64" s="25">
        <v>44700</v>
      </c>
      <c r="O64" s="24">
        <f t="shared" si="15"/>
        <v>14000</v>
      </c>
      <c r="P64" s="24">
        <f t="shared" si="16"/>
        <v>3725</v>
      </c>
      <c r="Q64" s="67"/>
      <c r="R64" s="85">
        <f>(0.85*9*(1-$H$3))+($H$3*2.75)</f>
        <v>5.1999999999999993</v>
      </c>
      <c r="S64" s="33">
        <v>360</v>
      </c>
      <c r="T64" s="33"/>
      <c r="U64" s="95">
        <f t="shared" si="24"/>
        <v>0.24</v>
      </c>
      <c r="V64" s="95">
        <f t="shared" si="17"/>
        <v>9.0749999999999993</v>
      </c>
      <c r="W64" s="95">
        <f>0.8*((0.85*$O$5*(1-$H$3))+(($H$3*2.75)*$O$1))</f>
        <v>7.26</v>
      </c>
      <c r="X64" s="61">
        <f t="shared" si="18"/>
        <v>0.10776843146956951</v>
      </c>
      <c r="Y64" s="34"/>
      <c r="Z64" s="95">
        <f>'restvärde o service'!$I$19</f>
        <v>3.2</v>
      </c>
      <c r="AA64" s="41"/>
      <c r="AB64" s="41">
        <v>70</v>
      </c>
      <c r="AC64" s="23">
        <f>'restvärde o service'!$J$19+'restvärde o service'!$K$19</f>
        <v>0</v>
      </c>
      <c r="AD64" s="37">
        <f>(R64-($H$3*2.75))*$E$4*0.338/1000</f>
        <v>1.9392749999999999</v>
      </c>
      <c r="AE64" s="30">
        <f t="shared" si="19"/>
        <v>101000</v>
      </c>
      <c r="AF64" s="31">
        <f t="shared" si="20"/>
        <v>67.366666666666674</v>
      </c>
      <c r="AG64" s="96">
        <f t="shared" si="21"/>
        <v>0</v>
      </c>
      <c r="AH64" s="57" t="str">
        <f t="shared" si="22"/>
        <v>Ford Transit Custom Trend PHEV laddhybrid, förmånsv. 3700 kr/mån brutto</v>
      </c>
      <c r="AI64" s="57">
        <v>58</v>
      </c>
      <c r="AJ64" s="57"/>
    </row>
    <row r="65" spans="1:36" x14ac:dyDescent="0.35">
      <c r="B65" s="47" t="s">
        <v>70</v>
      </c>
      <c r="C65" s="93" t="s">
        <v>1</v>
      </c>
      <c r="D65" s="51" t="s">
        <v>166</v>
      </c>
      <c r="E65" s="33">
        <v>460000</v>
      </c>
      <c r="F65" s="39"/>
      <c r="G65" s="92">
        <v>-10000</v>
      </c>
      <c r="H65" s="24">
        <f t="shared" si="13"/>
        <v>450000</v>
      </c>
      <c r="I65" s="23"/>
      <c r="J65" s="24">
        <f>36*PMT(0.04/12,36,-H65*0.9,0.9*E65*'restvärde o service'!$F$19)</f>
        <v>259683.55716265665</v>
      </c>
      <c r="K65" s="76">
        <v>36</v>
      </c>
      <c r="L65" s="24">
        <f>ROUNDDOWN(J65/3,-3)</f>
        <v>86000</v>
      </c>
      <c r="M65" s="88">
        <f t="shared" si="14"/>
        <v>0.85148514851485146</v>
      </c>
      <c r="N65" s="25">
        <v>44304</v>
      </c>
      <c r="O65" s="24">
        <f t="shared" si="15"/>
        <v>13900</v>
      </c>
      <c r="P65" s="24">
        <f t="shared" si="16"/>
        <v>3692</v>
      </c>
      <c r="Q65" s="67">
        <f>AB65/275</f>
        <v>0.38181818181818183</v>
      </c>
      <c r="R65" s="84">
        <f>Q65*13</f>
        <v>4.9636363636363638</v>
      </c>
      <c r="S65" s="24">
        <f>IF(((AB65-111)*11+360)&lt;360,360,((AB65-111)*11+360))</f>
        <v>360</v>
      </c>
      <c r="T65" s="24"/>
      <c r="U65" s="95">
        <f t="shared" si="24"/>
        <v>0.24</v>
      </c>
      <c r="V65" s="95">
        <f t="shared" si="17"/>
        <v>8.4</v>
      </c>
      <c r="W65" s="95">
        <f>R65/13*1.1*$O$2*0.8</f>
        <v>6.7200000000000006</v>
      </c>
      <c r="X65" s="61">
        <f t="shared" si="18"/>
        <v>9.9565389174239433E-2</v>
      </c>
      <c r="Y65" s="34">
        <f>Z65*1.25</f>
        <v>4</v>
      </c>
      <c r="Z65" s="95">
        <f>'restvärde o service'!$I$19</f>
        <v>3.2</v>
      </c>
      <c r="AA65" s="91"/>
      <c r="AB65" s="36">
        <v>105</v>
      </c>
      <c r="AC65" s="23">
        <f>'restvärde o service'!$J$19+'restvärde o service'!$K$19</f>
        <v>0</v>
      </c>
      <c r="AD65" s="37">
        <f>Q65*1.1*0.338*0.2*13*$E$4/1000</f>
        <v>0.55364400000000014</v>
      </c>
      <c r="AE65" s="30">
        <f t="shared" si="19"/>
        <v>101000</v>
      </c>
      <c r="AF65" s="31">
        <f t="shared" si="20"/>
        <v>67.493333333333339</v>
      </c>
      <c r="AG65" s="96">
        <f t="shared" si="21"/>
        <v>0</v>
      </c>
      <c r="AH65" s="57" t="str">
        <f>D66</f>
        <v xml:space="preserve">VW e-Crafter, förmånsv. 3900 kr/mån brutto </v>
      </c>
      <c r="AI65" s="57">
        <v>59</v>
      </c>
      <c r="AJ65" s="57"/>
    </row>
    <row r="66" spans="1:36" ht="15" customHeight="1" x14ac:dyDescent="0.35">
      <c r="B66" s="47" t="s">
        <v>71</v>
      </c>
      <c r="C66" s="47" t="s">
        <v>68</v>
      </c>
      <c r="D66" s="50" t="s">
        <v>131</v>
      </c>
      <c r="E66" s="33">
        <f>571200/0.8</f>
        <v>714000</v>
      </c>
      <c r="F66" s="39">
        <v>44246</v>
      </c>
      <c r="G66" s="92">
        <v>-70000</v>
      </c>
      <c r="H66" s="24">
        <f t="shared" si="13"/>
        <v>644000</v>
      </c>
      <c r="I66" s="23">
        <f>60*PMT(0.04/12*0.7,60,-H66,E66*'restvärde o service'!$F$19)</f>
        <v>399498.84252651094</v>
      </c>
      <c r="J66" s="24">
        <f>60*PMT(0.04/12,60,-H66*0.9,0.9*E66*'restvärde o service'!$G$19)</f>
        <v>465988.74368508777</v>
      </c>
      <c r="K66" s="76">
        <v>60</v>
      </c>
      <c r="L66" s="24">
        <f>ROUNDDOWN(J66/5,-3)</f>
        <v>93000</v>
      </c>
      <c r="M66" s="88">
        <f t="shared" si="14"/>
        <v>0.90291262135922334</v>
      </c>
      <c r="N66" s="25">
        <v>47164</v>
      </c>
      <c r="O66" s="24">
        <f t="shared" si="15"/>
        <v>14800</v>
      </c>
      <c r="P66" s="24">
        <f t="shared" si="16"/>
        <v>3930.3333333333335</v>
      </c>
      <c r="Q66" s="67">
        <v>3</v>
      </c>
      <c r="R66" s="84">
        <f>Q66</f>
        <v>3</v>
      </c>
      <c r="S66" s="24">
        <v>360</v>
      </c>
      <c r="T66" s="24"/>
      <c r="U66" s="95">
        <f t="shared" si="24"/>
        <v>0.24</v>
      </c>
      <c r="V66" s="95">
        <f t="shared" si="17"/>
        <v>4.95</v>
      </c>
      <c r="W66" s="95">
        <f>Q66*1.1*$O$1*0.8</f>
        <v>3.9600000000000004</v>
      </c>
      <c r="X66" s="61">
        <f t="shared" si="18"/>
        <v>5.7951219512195118E-2</v>
      </c>
      <c r="Y66" s="34">
        <f>Z66*1.25</f>
        <v>2.6666666666666665</v>
      </c>
      <c r="Z66" s="95">
        <f>'restvärde o service'!$I$19*2/3</f>
        <v>2.1333333333333333</v>
      </c>
      <c r="AA66" s="35"/>
      <c r="AB66" s="24"/>
      <c r="AC66" s="23">
        <f>'restvärde o service'!$J$19+'restvärde o service'!$K$19</f>
        <v>0</v>
      </c>
      <c r="AD66" s="29">
        <f>Q66*1.1*0.338*0.04*$E$4/1000</f>
        <v>6.6924000000000025E-2</v>
      </c>
      <c r="AE66" s="30">
        <f t="shared" si="19"/>
        <v>103000</v>
      </c>
      <c r="AF66" s="31">
        <f t="shared" si="20"/>
        <v>68.333333333333343</v>
      </c>
      <c r="AG66" s="96">
        <f t="shared" si="21"/>
        <v>0</v>
      </c>
      <c r="AH66" s="57" t="str">
        <f t="shared" ref="AH66:AH72" si="25">D66</f>
        <v xml:space="preserve">VW e-Crafter, förmånsv. 3900 kr/mån brutto </v>
      </c>
      <c r="AI66" s="57">
        <v>60</v>
      </c>
      <c r="AJ66" s="62" t="s">
        <v>73</v>
      </c>
    </row>
    <row r="67" spans="1:36" ht="15" customHeight="1" x14ac:dyDescent="0.35">
      <c r="B67" s="47" t="s">
        <v>70</v>
      </c>
      <c r="C67" s="93" t="s">
        <v>69</v>
      </c>
      <c r="D67" s="82" t="s">
        <v>89</v>
      </c>
      <c r="E67" s="33">
        <v>499000</v>
      </c>
      <c r="F67" s="39">
        <v>44224</v>
      </c>
      <c r="G67" s="92">
        <f>-(45000-(583.33*AB67))</f>
        <v>-20500.14</v>
      </c>
      <c r="H67" s="24">
        <f t="shared" si="13"/>
        <v>478499.86</v>
      </c>
      <c r="I67" s="23">
        <f>36*PMT(0.04/12*0.7,36,-H67,E67*'restvärde o service'!$F$19)</f>
        <v>289909.70716002595</v>
      </c>
      <c r="J67" s="24">
        <f>36*PMT(0.04/12,36,-H67*0.9,0.9*E67*'restvärde o service'!$F$19)</f>
        <v>272467.02398577175</v>
      </c>
      <c r="K67" s="76">
        <v>36</v>
      </c>
      <c r="L67" s="24">
        <f>ROUNDDOWN(J67/3,-3)</f>
        <v>90000</v>
      </c>
      <c r="M67" s="88">
        <f t="shared" si="14"/>
        <v>0.87378640776699024</v>
      </c>
      <c r="N67" s="25">
        <v>50485</v>
      </c>
      <c r="O67" s="24">
        <f t="shared" si="15"/>
        <v>15900</v>
      </c>
      <c r="P67" s="24">
        <f t="shared" si="16"/>
        <v>4207.083333333333</v>
      </c>
      <c r="Q67" s="26"/>
      <c r="R67" s="85">
        <f>((0.5*9*(1-$H$3))+($H$3*1.75))*1.24</f>
        <v>3.875</v>
      </c>
      <c r="S67" s="24">
        <v>360</v>
      </c>
      <c r="T67" s="24"/>
      <c r="U67" s="95">
        <f t="shared" si="24"/>
        <v>0.24</v>
      </c>
      <c r="V67" s="95">
        <f t="shared" si="17"/>
        <v>6.7425000000000006</v>
      </c>
      <c r="W67" s="95">
        <f>0.8*((0.5*$O$5*(1-$H$3))+(($H$3*1.75)*$O$1))*1.24</f>
        <v>5.394000000000001</v>
      </c>
      <c r="X67" s="61">
        <f t="shared" si="18"/>
        <v>7.8362437167678781E-2</v>
      </c>
      <c r="Y67" s="34">
        <f>Z67*1.25</f>
        <v>4</v>
      </c>
      <c r="Z67" s="95">
        <f>'restvärde o service'!$I$19</f>
        <v>3.2</v>
      </c>
      <c r="AA67" s="35"/>
      <c r="AB67" s="36">
        <v>42</v>
      </c>
      <c r="AC67" s="23">
        <f>'restvärde o service'!$J$19+'restvärde o service'!$K$19</f>
        <v>0</v>
      </c>
      <c r="AD67" s="37">
        <f>(R67-($H$3*1.75))*$E$4*0.338/1000</f>
        <v>1.5209999999999999</v>
      </c>
      <c r="AE67" s="30">
        <f t="shared" si="19"/>
        <v>103000</v>
      </c>
      <c r="AF67" s="31">
        <f t="shared" si="20"/>
        <v>68.834000000000003</v>
      </c>
      <c r="AG67" s="96">
        <f t="shared" si="21"/>
        <v>0</v>
      </c>
      <c r="AH67" s="57" t="str">
        <f t="shared" si="25"/>
        <v>Volvo V60 T6 AWD laddhybrid, förmånsv. 4200 kr/mån brutto</v>
      </c>
      <c r="AI67" s="57">
        <v>61</v>
      </c>
      <c r="AJ67" s="58"/>
    </row>
    <row r="68" spans="1:36" ht="15" customHeight="1" x14ac:dyDescent="0.35">
      <c r="B68" s="47" t="s">
        <v>71</v>
      </c>
      <c r="C68" s="47" t="s">
        <v>3</v>
      </c>
      <c r="D68" s="50" t="s">
        <v>164</v>
      </c>
      <c r="E68" s="25">
        <v>398750</v>
      </c>
      <c r="F68" s="39"/>
      <c r="G68" s="92">
        <v>0</v>
      </c>
      <c r="H68" s="24">
        <f t="shared" si="13"/>
        <v>398750</v>
      </c>
      <c r="I68" s="23"/>
      <c r="J68" s="24">
        <f>60*PMT(0.04/12,60,-H68*0.9,0.9*E68*'restvärde o service'!$G$19)</f>
        <v>299120.13280851598</v>
      </c>
      <c r="K68" s="76">
        <v>60</v>
      </c>
      <c r="L68" s="24">
        <f>ROUNDDOWN(J68/5,-3)</f>
        <v>59000</v>
      </c>
      <c r="M68" s="77">
        <f t="shared" si="14"/>
        <v>0.55660377358490565</v>
      </c>
      <c r="N68" s="25">
        <v>92481</v>
      </c>
      <c r="O68" s="24">
        <f t="shared" si="15"/>
        <v>29100</v>
      </c>
      <c r="P68" s="24">
        <f t="shared" si="16"/>
        <v>7706.75</v>
      </c>
      <c r="Q68" s="67">
        <v>0.77</v>
      </c>
      <c r="R68" s="84">
        <f>Q68*9.77</f>
        <v>7.5228999999999999</v>
      </c>
      <c r="S68" s="21">
        <f>IF(AB68&gt;130,(360+250+4280+((AB68-130)*132)+(AB68*13.52)),(360+250+(107*(AB68-90)+AB68*13.52)))</f>
        <v>32841.199999999997</v>
      </c>
      <c r="T68" s="98">
        <f>(360+250+(22*(AB68-111)+(AB68*13.52)))</f>
        <v>9179.2000000000007</v>
      </c>
      <c r="U68" s="95">
        <f>((S68*0.6)+(0.4*T68))/$E$4</f>
        <v>15.584266666666664</v>
      </c>
      <c r="V68" s="95">
        <f t="shared" si="17"/>
        <v>15.669500000000003</v>
      </c>
      <c r="W68" s="95">
        <f>Q68*1.1*$O$3*0.8</f>
        <v>12.535600000000002</v>
      </c>
      <c r="X68" s="61">
        <f t="shared" si="18"/>
        <v>0.17742437709827721</v>
      </c>
      <c r="Y68" s="34"/>
      <c r="Z68" s="95">
        <f>'restvärde o service'!$I$19</f>
        <v>3.2</v>
      </c>
      <c r="AA68" s="41"/>
      <c r="AB68" s="41">
        <v>310</v>
      </c>
      <c r="AC68" s="23">
        <f>'restvärde o service'!$J$19+'restvärde o service'!$K$19</f>
        <v>0</v>
      </c>
      <c r="AD68" s="37">
        <f>Q68*1.1*0.338*0.2*9.8*$E$4/1000</f>
        <v>0.8416808400000001</v>
      </c>
      <c r="AE68" s="30">
        <f t="shared" si="19"/>
        <v>106000</v>
      </c>
      <c r="AF68" s="31">
        <f t="shared" si="20"/>
        <v>70.653200000000012</v>
      </c>
      <c r="AG68" s="96">
        <f t="shared" si="21"/>
        <v>0</v>
      </c>
      <c r="AH68" s="57" t="str">
        <f t="shared" si="25"/>
        <v>Iveco Daily 3,5 ton skåp HVO100, förmånsv. 7707 kr/mån</v>
      </c>
      <c r="AI68" s="57">
        <v>62</v>
      </c>
      <c r="AJ68" s="57"/>
    </row>
    <row r="69" spans="1:36" ht="15" customHeight="1" x14ac:dyDescent="0.35">
      <c r="B69" s="47" t="s">
        <v>70</v>
      </c>
      <c r="C69" s="93" t="s">
        <v>68</v>
      </c>
      <c r="D69" s="82" t="s">
        <v>123</v>
      </c>
      <c r="E69" s="33">
        <v>624900</v>
      </c>
      <c r="F69" s="39">
        <v>44310</v>
      </c>
      <c r="G69" s="92">
        <v>-70000</v>
      </c>
      <c r="H69" s="24">
        <f t="shared" si="13"/>
        <v>554900</v>
      </c>
      <c r="I69" s="23">
        <f>36*PMT(0.04/12*0.7,36,-H69,E69*'restvärde o service'!$F$19)</f>
        <v>316788.19735365524</v>
      </c>
      <c r="J69" s="24">
        <f>36*PMT(0.04/12,36,-H69*0.9,0.9*E69*'restvärde o service'!$F$19)</f>
        <v>298808.96126038232</v>
      </c>
      <c r="K69" s="76">
        <v>36</v>
      </c>
      <c r="L69" s="24">
        <f>ROUNDDOWN(J69/3,-3)</f>
        <v>99000</v>
      </c>
      <c r="M69" s="88">
        <f t="shared" si="14"/>
        <v>0.93396226415094341</v>
      </c>
      <c r="N69" s="25">
        <v>46000</v>
      </c>
      <c r="O69" s="24">
        <f t="shared" si="15"/>
        <v>14500</v>
      </c>
      <c r="P69" s="24">
        <f t="shared" si="16"/>
        <v>3833.3333333333335</v>
      </c>
      <c r="Q69" s="67">
        <v>1.85</v>
      </c>
      <c r="R69" s="84">
        <f>Q69</f>
        <v>1.85</v>
      </c>
      <c r="S69" s="24">
        <v>360</v>
      </c>
      <c r="T69" s="24"/>
      <c r="U69" s="95">
        <f>S69/$E$4</f>
        <v>0.24</v>
      </c>
      <c r="V69" s="95">
        <f t="shared" si="17"/>
        <v>3.0525000000000002</v>
      </c>
      <c r="W69" s="95">
        <f>Q69*1.1*$O$1*0.8</f>
        <v>2.4420000000000002</v>
      </c>
      <c r="X69" s="61">
        <f t="shared" si="18"/>
        <v>3.4484057125104738E-2</v>
      </c>
      <c r="Y69" s="34">
        <f t="shared" ref="Y69:Y77" si="26">Z69*1.25</f>
        <v>2.6666666666666665</v>
      </c>
      <c r="Z69" s="95">
        <f>'restvärde o service'!$I$19*2/3</f>
        <v>2.1333333333333333</v>
      </c>
      <c r="AA69" s="35"/>
      <c r="AB69" s="24"/>
      <c r="AC69" s="23">
        <f>'restvärde o service'!$J$19+'restvärde o service'!$K$19</f>
        <v>0</v>
      </c>
      <c r="AD69" s="29">
        <f>Q69*1.1*0.338*0.04*$E$4/1000</f>
        <v>4.1269800000000002E-2</v>
      </c>
      <c r="AE69" s="30">
        <f t="shared" si="19"/>
        <v>106000</v>
      </c>
      <c r="AF69" s="31">
        <f t="shared" si="20"/>
        <v>70.815333333333328</v>
      </c>
      <c r="AG69" s="96">
        <f t="shared" si="21"/>
        <v>0</v>
      </c>
      <c r="AH69" s="57" t="str">
        <f t="shared" si="25"/>
        <v>VW ID.4 Max 80kWh, förmånsv.  3800 kr/mån brutto</v>
      </c>
      <c r="AI69" s="57">
        <v>63</v>
      </c>
      <c r="AJ69" s="57" t="s">
        <v>104</v>
      </c>
    </row>
    <row r="70" spans="1:36" ht="15" customHeight="1" x14ac:dyDescent="0.35">
      <c r="B70" s="47" t="s">
        <v>70</v>
      </c>
      <c r="C70" s="93" t="s">
        <v>1</v>
      </c>
      <c r="D70" s="51" t="s">
        <v>109</v>
      </c>
      <c r="E70" s="33">
        <v>452000</v>
      </c>
      <c r="F70" s="39">
        <v>44313</v>
      </c>
      <c r="G70" s="92">
        <v>-10000</v>
      </c>
      <c r="H70" s="24">
        <f t="shared" si="13"/>
        <v>442000</v>
      </c>
      <c r="I70" s="23">
        <f>36*PMT(0.04/12*0.7,36,-H70,E70*'restvärde o service'!$F$19)</f>
        <v>271547.78252216533</v>
      </c>
      <c r="J70" s="24">
        <f>36*PMT(0.04/12,36,-H70*0.9,0.9*E70*'restvärde o service'!$F$19)</f>
        <v>255000.96014865884</v>
      </c>
      <c r="K70" s="76">
        <v>36</v>
      </c>
      <c r="L70" s="24">
        <f>ROUNDDOWN(J70/3,-3)</f>
        <v>85000</v>
      </c>
      <c r="M70" s="88">
        <f t="shared" si="14"/>
        <v>0.79439252336448596</v>
      </c>
      <c r="N70" s="25">
        <v>53100</v>
      </c>
      <c r="O70" s="24">
        <f t="shared" si="15"/>
        <v>16700</v>
      </c>
      <c r="P70" s="24">
        <f t="shared" si="16"/>
        <v>4425</v>
      </c>
      <c r="Q70" s="67">
        <f>AB70/275</f>
        <v>0.61454545454545451</v>
      </c>
      <c r="R70" s="84">
        <f>Q70*13</f>
        <v>7.9890909090909084</v>
      </c>
      <c r="S70" s="24">
        <f>(AB70-111)*11+360</f>
        <v>998</v>
      </c>
      <c r="T70" s="24"/>
      <c r="U70" s="95">
        <f>S70/$E$4</f>
        <v>0.66533333333333333</v>
      </c>
      <c r="V70" s="95">
        <f t="shared" si="17"/>
        <v>13.520000000000003</v>
      </c>
      <c r="W70" s="95">
        <f>R70/13*1.1*$O$2*0.8</f>
        <v>10.816000000000003</v>
      </c>
      <c r="X70" s="61">
        <f t="shared" si="18"/>
        <v>0.15159499915905145</v>
      </c>
      <c r="Y70" s="34">
        <f t="shared" si="26"/>
        <v>4</v>
      </c>
      <c r="Z70" s="95">
        <f>'restvärde o service'!$I$19</f>
        <v>3.2</v>
      </c>
      <c r="AA70" s="91"/>
      <c r="AB70" s="36">
        <v>169</v>
      </c>
      <c r="AC70" s="23">
        <f>'restvärde o service'!$J$19+'restvärde o service'!$K$19</f>
        <v>0</v>
      </c>
      <c r="AD70" s="37">
        <f>Q70*1.1*0.338*0.2*13*$E$4/1000</f>
        <v>0.8911032000000001</v>
      </c>
      <c r="AE70" s="30">
        <f t="shared" si="19"/>
        <v>107000</v>
      </c>
      <c r="AF70" s="31">
        <f t="shared" si="20"/>
        <v>71.347999999999999</v>
      </c>
      <c r="AG70" s="96">
        <f t="shared" si="21"/>
        <v>0</v>
      </c>
      <c r="AH70" s="57" t="str">
        <f t="shared" si="25"/>
        <v>SEAT Tarraco CNG biogas, förmånsv. 4400 kr/mån brutto</v>
      </c>
      <c r="AI70" s="57">
        <v>64</v>
      </c>
      <c r="AJ70" s="57"/>
    </row>
    <row r="71" spans="1:36" ht="15" customHeight="1" x14ac:dyDescent="0.35">
      <c r="B71" s="47" t="s">
        <v>70</v>
      </c>
      <c r="C71" s="93" t="s">
        <v>68</v>
      </c>
      <c r="D71" s="50" t="s">
        <v>145</v>
      </c>
      <c r="E71" s="33">
        <v>699000</v>
      </c>
      <c r="F71" s="39">
        <v>44224</v>
      </c>
      <c r="G71" s="92">
        <v>-70000</v>
      </c>
      <c r="H71" s="24">
        <f t="shared" ref="H71:H77" si="27">+E71+G71</f>
        <v>629000</v>
      </c>
      <c r="I71" s="23">
        <f>36*PMT(0.04/12*0.7,36,-H71,E71*'restvärde o service'!$F$19)</f>
        <v>363016.32124414458</v>
      </c>
      <c r="J71" s="24">
        <f>36*PMT(0.04/12,36,-H71*0.9,0.9*E71*'restvärde o service'!$F$19)</f>
        <v>342181.51610253705</v>
      </c>
      <c r="K71" s="76">
        <v>36</v>
      </c>
      <c r="L71" s="24">
        <f>ROUNDDOWN(J71/3,-3)</f>
        <v>114000</v>
      </c>
      <c r="M71" s="88">
        <f t="shared" ref="M71:M77" si="28">L71/AE71</f>
        <v>0.93442622950819676</v>
      </c>
      <c r="N71" s="25">
        <v>48019</v>
      </c>
      <c r="O71" s="24">
        <f t="shared" ref="O71:O77" si="29">ROUND(N71*0.3142,-2)</f>
        <v>15100</v>
      </c>
      <c r="P71" s="24">
        <f t="shared" ref="P71:P77" si="30">N71/12</f>
        <v>4001.5833333333335</v>
      </c>
      <c r="Q71" s="68">
        <v>2.39</v>
      </c>
      <c r="R71" s="84">
        <f>Q71</f>
        <v>2.39</v>
      </c>
      <c r="S71" s="24">
        <v>360</v>
      </c>
      <c r="T71" s="24"/>
      <c r="U71" s="95">
        <f>S71/$E$4</f>
        <v>0.24</v>
      </c>
      <c r="V71" s="95">
        <f t="shared" si="17"/>
        <v>3.9435000000000007</v>
      </c>
      <c r="W71" s="95">
        <f>Q71*1.1*$O$1*0.8</f>
        <v>3.1548000000000007</v>
      </c>
      <c r="X71" s="61">
        <f t="shared" ref="X71:X77" si="31">W71/AF71</f>
        <v>3.869584486990995E-2</v>
      </c>
      <c r="Y71" s="34">
        <f t="shared" si="26"/>
        <v>2.6666666666666665</v>
      </c>
      <c r="Z71" s="95">
        <f>'restvärde o service'!$I$19*2/3</f>
        <v>2.1333333333333333</v>
      </c>
      <c r="AA71" s="35"/>
      <c r="AB71" s="24"/>
      <c r="AC71" s="23">
        <f>'restvärde o service'!$J$19+'restvärde o service'!$K$19</f>
        <v>0</v>
      </c>
      <c r="AD71" s="29">
        <f>Q71*1.1*0.338*0.04*$E$4/1000</f>
        <v>5.3316120000000022E-2</v>
      </c>
      <c r="AE71" s="30">
        <f t="shared" ref="AE71:AE77" si="32">ROUND(AF71*$E$4,-3)</f>
        <v>122000</v>
      </c>
      <c r="AF71" s="31">
        <f t="shared" ref="AF71:AF77" si="33">(L71/$E$4)+U71+W71+Z71+(AC71/3/$E$4)</f>
        <v>81.528133333333329</v>
      </c>
      <c r="AG71" s="96">
        <f t="shared" ref="AG71:AG77" si="34">ROUND($F$3*O71/$E$4,1)</f>
        <v>0</v>
      </c>
      <c r="AH71" s="57" t="str">
        <f t="shared" si="25"/>
        <v>Volvo XC40 Recharge P8 AWD (el), förmånsv. 4000 kr/mån brutto</v>
      </c>
      <c r="AI71" s="57">
        <v>65</v>
      </c>
      <c r="AJ71" s="58"/>
    </row>
    <row r="72" spans="1:36" ht="15" customHeight="1" x14ac:dyDescent="0.35">
      <c r="B72" s="47" t="s">
        <v>70</v>
      </c>
      <c r="C72" s="93" t="s">
        <v>68</v>
      </c>
      <c r="D72" s="50" t="s">
        <v>124</v>
      </c>
      <c r="E72" s="33">
        <v>974990</v>
      </c>
      <c r="F72" s="43">
        <v>44256</v>
      </c>
      <c r="G72" s="92">
        <v>-70000</v>
      </c>
      <c r="H72" s="24">
        <f t="shared" si="27"/>
        <v>904990</v>
      </c>
      <c r="I72" s="23">
        <f>36*PMT(0.04/12*0.7,36,-H72,E72*'restvärde o service'!$F$19)</f>
        <v>535195.80724328267</v>
      </c>
      <c r="J72" s="24">
        <f>36*PMT(0.04/12,36,-H72*0.9,0.9*E72*('restvärde o service'!$F$19+0.1))</f>
        <v>420989.83977968898</v>
      </c>
      <c r="K72" s="76">
        <v>36</v>
      </c>
      <c r="L72" s="24">
        <f>ROUNDDOWN(J72/3,-3)</f>
        <v>140000</v>
      </c>
      <c r="M72" s="88">
        <f t="shared" si="28"/>
        <v>0.93959731543624159</v>
      </c>
      <c r="N72" s="24">
        <v>66800</v>
      </c>
      <c r="O72" s="24">
        <f t="shared" si="29"/>
        <v>21000</v>
      </c>
      <c r="P72" s="24">
        <f t="shared" si="30"/>
        <v>5566.666666666667</v>
      </c>
      <c r="Q72" s="67">
        <v>2.5</v>
      </c>
      <c r="R72" s="84">
        <f>Q72</f>
        <v>2.5</v>
      </c>
      <c r="S72" s="24">
        <v>360</v>
      </c>
      <c r="T72" s="24"/>
      <c r="U72" s="95">
        <f>S72/$E$4</f>
        <v>0.24</v>
      </c>
      <c r="V72" s="95">
        <f t="shared" si="17"/>
        <v>4.125</v>
      </c>
      <c r="W72" s="95">
        <f>Q72*1.1*$O$1*0.8</f>
        <v>3.3000000000000003</v>
      </c>
      <c r="X72" s="61">
        <f t="shared" si="31"/>
        <v>3.3331088815567983E-2</v>
      </c>
      <c r="Y72" s="34">
        <f t="shared" si="26"/>
        <v>2.6666666666666665</v>
      </c>
      <c r="Z72" s="95">
        <f>'restvärde o service'!$I$19*2/3</f>
        <v>2.1333333333333333</v>
      </c>
      <c r="AA72" s="24"/>
      <c r="AB72" s="35"/>
      <c r="AC72" s="23">
        <f>'restvärde o service'!$J$19+'restvärde o service'!$K$19</f>
        <v>0</v>
      </c>
      <c r="AD72" s="29">
        <f>Q72*1.1*0.338*0.04*$E$4/1000</f>
        <v>5.5770000000000007E-2</v>
      </c>
      <c r="AE72" s="30">
        <f t="shared" si="32"/>
        <v>149000</v>
      </c>
      <c r="AF72" s="31">
        <f t="shared" si="33"/>
        <v>99.006666666666661</v>
      </c>
      <c r="AG72" s="96">
        <f t="shared" si="34"/>
        <v>0</v>
      </c>
      <c r="AH72" s="57" t="str">
        <f t="shared" si="25"/>
        <v>Tesla S Long Range AWD, förmånsvärde 5600 kr/mån brutto</v>
      </c>
      <c r="AI72" s="57">
        <v>66</v>
      </c>
      <c r="AJ72" s="58"/>
    </row>
    <row r="73" spans="1:36" ht="15" customHeight="1" x14ac:dyDescent="0.35">
      <c r="A73" s="6" t="s">
        <v>95</v>
      </c>
      <c r="B73" s="47" t="s">
        <v>70</v>
      </c>
      <c r="C73" s="93" t="s">
        <v>98</v>
      </c>
      <c r="D73" s="51" t="s">
        <v>167</v>
      </c>
      <c r="E73" s="33">
        <v>439300</v>
      </c>
      <c r="F73" s="39"/>
      <c r="G73" s="92">
        <v>0</v>
      </c>
      <c r="H73" s="24">
        <f t="shared" si="27"/>
        <v>439300</v>
      </c>
      <c r="I73" s="23"/>
      <c r="J73" s="24">
        <f>36*PMT(0.04/12,36,-H73*0.9,0.9*E73*'restvärde o service'!$F$19)</f>
        <v>257133.10853115466</v>
      </c>
      <c r="K73" s="76">
        <v>36</v>
      </c>
      <c r="L73" s="24">
        <f>ROUNDDOWN(J73/3,-3)</f>
        <v>85000</v>
      </c>
      <c r="M73" s="88">
        <f t="shared" si="28"/>
        <v>0.80188679245283023</v>
      </c>
      <c r="N73" s="25">
        <v>58516</v>
      </c>
      <c r="O73" s="24">
        <f t="shared" si="29"/>
        <v>18400</v>
      </c>
      <c r="P73" s="24">
        <f t="shared" si="30"/>
        <v>4876.333333333333</v>
      </c>
      <c r="Q73" s="67">
        <v>0.47</v>
      </c>
      <c r="R73" s="84">
        <f>Q73*9.77</f>
        <v>4.5918999999999999</v>
      </c>
      <c r="S73" s="25">
        <f>IF(AB73&gt;130,(360+250+4280+((AB73-130)*132)+(AB73*13.52)),(360+250+(107*(AB73-90)+AB73*13.52)))</f>
        <v>5803.96</v>
      </c>
      <c r="T73" s="24"/>
      <c r="U73" s="95">
        <f>S73/$E$4</f>
        <v>3.8693066666666667</v>
      </c>
      <c r="V73" s="95">
        <f t="shared" si="17"/>
        <v>9.0474999999999994</v>
      </c>
      <c r="W73" s="95">
        <f>Q73*1.1*$O$4*0.8</f>
        <v>7.2379999999999995</v>
      </c>
      <c r="X73" s="61">
        <f t="shared" si="31"/>
        <v>0.10198104544614288</v>
      </c>
      <c r="Y73" s="34">
        <f t="shared" si="26"/>
        <v>4</v>
      </c>
      <c r="Z73" s="95">
        <f>'restvärde o service'!$I$19</f>
        <v>3.2</v>
      </c>
      <c r="AA73" s="35"/>
      <c r="AB73" s="36">
        <v>123</v>
      </c>
      <c r="AC73" s="23">
        <f>'restvärde o service'!$J$19+'restvärde o service'!$K$19</f>
        <v>0</v>
      </c>
      <c r="AD73" s="37">
        <f>Q73*1.1*0.338*0.74*9.8*$E$4/1000</f>
        <v>1.9008869880000003</v>
      </c>
      <c r="AE73" s="30">
        <f t="shared" si="32"/>
        <v>106000</v>
      </c>
      <c r="AF73" s="31">
        <f t="shared" si="33"/>
        <v>70.973973333333333</v>
      </c>
      <c r="AG73" s="96">
        <f t="shared" si="34"/>
        <v>0</v>
      </c>
      <c r="AH73" s="57"/>
      <c r="AI73" s="57">
        <v>555</v>
      </c>
      <c r="AJ73" s="57"/>
    </row>
    <row r="74" spans="1:36" ht="15" customHeight="1" x14ac:dyDescent="0.35">
      <c r="A74" s="9" t="s">
        <v>95</v>
      </c>
      <c r="B74" s="69" t="s">
        <v>71</v>
      </c>
      <c r="C74" s="69" t="s">
        <v>98</v>
      </c>
      <c r="D74" s="70" t="s">
        <v>158</v>
      </c>
      <c r="E74" s="25">
        <f>230300/0.8</f>
        <v>287875</v>
      </c>
      <c r="F74" s="94">
        <v>44309</v>
      </c>
      <c r="G74" s="92"/>
      <c r="H74" s="25">
        <f t="shared" si="27"/>
        <v>287875</v>
      </c>
      <c r="I74" s="21"/>
      <c r="J74" s="24">
        <f>60*PMT(0.04/12,60,-H74*0.9,0.9*E74*'restvärde o service'!$G$19)</f>
        <v>215947.85763574048</v>
      </c>
      <c r="K74" s="76">
        <v>60</v>
      </c>
      <c r="L74" s="24">
        <f>ROUNDDOWN(J74/5,-3)</f>
        <v>43000</v>
      </c>
      <c r="M74" s="88">
        <f t="shared" si="28"/>
        <v>0.66153846153846152</v>
      </c>
      <c r="N74" s="25">
        <v>48100</v>
      </c>
      <c r="O74" s="25">
        <f t="shared" si="29"/>
        <v>15100</v>
      </c>
      <c r="P74" s="25">
        <f t="shared" si="30"/>
        <v>4008.3333333333335</v>
      </c>
      <c r="Q74" s="68">
        <v>0.52</v>
      </c>
      <c r="R74" s="84">
        <f>Q74*9.77</f>
        <v>5.0804</v>
      </c>
      <c r="S74" s="25">
        <f>IF(AB74&gt;130,(360+250+4280+((AB74-130)*132)+(AB74*13.52)),(360+250+(107*(AB74-90)+AB74*13.52)))</f>
        <v>7375.2</v>
      </c>
      <c r="T74" s="78">
        <f>(360+250+(22*(AB74-111)+(AB74*13.52)))</f>
        <v>2963.2</v>
      </c>
      <c r="U74" s="95">
        <f>((S74*0.6)+(0.4*T74))/$E$4</f>
        <v>3.7402666666666664</v>
      </c>
      <c r="V74" s="95">
        <f t="shared" si="17"/>
        <v>10.01</v>
      </c>
      <c r="W74" s="95">
        <f>Q74*1.1*$O$4*0.8</f>
        <v>8.0080000000000009</v>
      </c>
      <c r="X74" s="71">
        <f t="shared" si="31"/>
        <v>0.18360683802489666</v>
      </c>
      <c r="Y74" s="34">
        <f t="shared" si="26"/>
        <v>4</v>
      </c>
      <c r="Z74" s="95">
        <f>'restvärde o service'!$I$19</f>
        <v>3.2</v>
      </c>
      <c r="AA74" s="72"/>
      <c r="AB74" s="72">
        <v>135</v>
      </c>
      <c r="AC74" s="21">
        <f>'restvärde o service'!$J$19+'restvärde o service'!$K$19</f>
        <v>0</v>
      </c>
      <c r="AD74" s="37">
        <f>Q74*1.1*0.338*0.74*9.8*$E$4/1000</f>
        <v>2.1031090080000006</v>
      </c>
      <c r="AE74" s="73">
        <f t="shared" si="32"/>
        <v>65000</v>
      </c>
      <c r="AF74" s="31">
        <f t="shared" si="33"/>
        <v>43.61493333333334</v>
      </c>
      <c r="AG74" s="96">
        <f t="shared" si="34"/>
        <v>0</v>
      </c>
      <c r="AH74" s="74" t="str">
        <f>D74</f>
        <v xml:space="preserve">jämförelsebil VW Caddy Cargo 122 TDI (diesel) DSG, förmånsv. 4000 kr/mån brutto </v>
      </c>
      <c r="AI74" s="57">
        <v>666</v>
      </c>
      <c r="AJ74" s="74" t="s">
        <v>101</v>
      </c>
    </row>
    <row r="75" spans="1:36" ht="15" customHeight="1" x14ac:dyDescent="0.35">
      <c r="A75" s="6" t="s">
        <v>95</v>
      </c>
      <c r="B75" s="47" t="s">
        <v>70</v>
      </c>
      <c r="C75" s="93" t="s">
        <v>34</v>
      </c>
      <c r="D75" s="50" t="s">
        <v>165</v>
      </c>
      <c r="E75" s="33">
        <v>171900</v>
      </c>
      <c r="F75" s="39"/>
      <c r="G75" s="92"/>
      <c r="H75" s="24">
        <f t="shared" si="27"/>
        <v>171900</v>
      </c>
      <c r="I75" s="23"/>
      <c r="J75" s="24">
        <f>36*PMT(0.04/12,36,-H75*0.9,0.9*E75*'restvärde o service'!$F$19)</f>
        <v>100617.30333827791</v>
      </c>
      <c r="K75" s="76">
        <v>36</v>
      </c>
      <c r="L75" s="24">
        <f>ROUNDDOWN(J75/3,-3)</f>
        <v>33000</v>
      </c>
      <c r="M75" s="88">
        <f t="shared" si="28"/>
        <v>0.63461538461538458</v>
      </c>
      <c r="N75" s="25">
        <v>33275</v>
      </c>
      <c r="O75" s="24">
        <f t="shared" si="29"/>
        <v>10500</v>
      </c>
      <c r="P75" s="24">
        <f t="shared" si="30"/>
        <v>2772.9166666666665</v>
      </c>
      <c r="Q75" s="67">
        <v>0.51</v>
      </c>
      <c r="R75" s="84">
        <f>Q75*9.1</f>
        <v>4.641</v>
      </c>
      <c r="S75" s="25">
        <f>IF(AB75&gt;130,(360+4280+((AB75-130)*132)),(360+(107*(AB75-90))))</f>
        <v>3356</v>
      </c>
      <c r="T75" s="25"/>
      <c r="U75" s="95">
        <f>S75/$E$4</f>
        <v>2.2373333333333334</v>
      </c>
      <c r="V75" s="95">
        <f t="shared" si="17"/>
        <v>9.2565000000000008</v>
      </c>
      <c r="W75" s="95">
        <f>Q75*1.1*$O$5*0.8</f>
        <v>7.4052000000000007</v>
      </c>
      <c r="X75" s="61">
        <f t="shared" si="31"/>
        <v>0.21253334047658226</v>
      </c>
      <c r="Y75" s="34">
        <f t="shared" si="26"/>
        <v>4</v>
      </c>
      <c r="Z75" s="95">
        <f>'restvärde o service'!$I$19</f>
        <v>3.2</v>
      </c>
      <c r="AA75" s="24"/>
      <c r="AB75" s="36">
        <v>118</v>
      </c>
      <c r="AC75" s="23">
        <f>'restvärde o service'!$J$19+'restvärde o service'!$K$19</f>
        <v>0</v>
      </c>
      <c r="AD75" s="37">
        <f>Q75*9.1*1.1*0.338*0.958*$E$4/1000</f>
        <v>2.4795777006000002</v>
      </c>
      <c r="AE75" s="30">
        <f t="shared" si="32"/>
        <v>52000</v>
      </c>
      <c r="AF75" s="31">
        <f t="shared" si="33"/>
        <v>34.842533333333336</v>
      </c>
      <c r="AG75" s="96">
        <f t="shared" si="34"/>
        <v>0</v>
      </c>
      <c r="AH75" s="57" t="str">
        <f>D75</f>
        <v>jämförelsebil Seat Ibiza TSI 95 Style man, förmånsv. 2772 kr/mån</v>
      </c>
      <c r="AI75" s="57">
        <v>777</v>
      </c>
      <c r="AJ75" s="58"/>
    </row>
    <row r="76" spans="1:36" x14ac:dyDescent="0.35">
      <c r="A76" s="6" t="s">
        <v>95</v>
      </c>
      <c r="B76" s="47" t="s">
        <v>70</v>
      </c>
      <c r="C76" s="93" t="s">
        <v>34</v>
      </c>
      <c r="D76" s="50" t="s">
        <v>82</v>
      </c>
      <c r="E76" s="33">
        <v>268400</v>
      </c>
      <c r="F76" s="39">
        <v>44222</v>
      </c>
      <c r="G76" s="92"/>
      <c r="H76" s="24">
        <f t="shared" si="27"/>
        <v>268400</v>
      </c>
      <c r="I76" s="23">
        <f>36*PMT(0.04/12*0.7,36,-H76,E76*'restvärde o service'!$F$19)</f>
        <v>167444.37857229853</v>
      </c>
      <c r="J76" s="24">
        <f>36*PMT(0.04/12,36,-H76*0.9,0.9*E76*'restvärde o service'!$F$19)</f>
        <v>157101.12981962651</v>
      </c>
      <c r="K76" s="76">
        <v>36</v>
      </c>
      <c r="L76" s="24">
        <f>ROUNDDOWN(J76/3,-3)</f>
        <v>52000</v>
      </c>
      <c r="M76" s="88">
        <f t="shared" si="28"/>
        <v>0.73239436619718312</v>
      </c>
      <c r="N76" s="25">
        <v>39700</v>
      </c>
      <c r="O76" s="24">
        <f t="shared" si="29"/>
        <v>12500</v>
      </c>
      <c r="P76" s="24">
        <f t="shared" si="30"/>
        <v>3308.3333333333335</v>
      </c>
      <c r="Q76" s="67">
        <v>0.52</v>
      </c>
      <c r="R76" s="84">
        <f>Q76*9.1</f>
        <v>4.7320000000000002</v>
      </c>
      <c r="S76" s="25">
        <f>IF(AB76&gt;130,(360+4280+((AB76-130)*132)),(360+(107*(AB76-90))))</f>
        <v>3356</v>
      </c>
      <c r="T76" s="25"/>
      <c r="U76" s="95">
        <f>S76/$E$4</f>
        <v>2.2373333333333334</v>
      </c>
      <c r="V76" s="95">
        <f t="shared" si="17"/>
        <v>9.4380000000000006</v>
      </c>
      <c r="W76" s="95">
        <f>Q76*1.1*$O$5*0.8</f>
        <v>7.5504000000000007</v>
      </c>
      <c r="X76" s="61">
        <f t="shared" si="31"/>
        <v>0.15844077356970185</v>
      </c>
      <c r="Y76" s="34">
        <f t="shared" si="26"/>
        <v>4</v>
      </c>
      <c r="Z76" s="95">
        <f>'restvärde o service'!$I$19</f>
        <v>3.2</v>
      </c>
      <c r="AA76" s="24"/>
      <c r="AB76" s="36">
        <v>118</v>
      </c>
      <c r="AC76" s="23">
        <f>'restvärde o service'!$J$19+'restvärde o service'!$K$19</f>
        <v>0</v>
      </c>
      <c r="AD76" s="37">
        <f>Q76*9.1*1.1*0.338*0.958*$E$4/1000</f>
        <v>2.5281968712000005</v>
      </c>
      <c r="AE76" s="30">
        <f t="shared" si="32"/>
        <v>71000</v>
      </c>
      <c r="AF76" s="31">
        <f t="shared" si="33"/>
        <v>47.654400000000003</v>
      </c>
      <c r="AG76" s="96">
        <f t="shared" si="34"/>
        <v>0</v>
      </c>
      <c r="AH76" s="59" t="str">
        <f>D76</f>
        <v xml:space="preserve">jämförelsebil VW Golf 1.0 eTSI 110 DSG bensin, förmånsv. 3300 kr/mån brutto </v>
      </c>
      <c r="AI76" s="57">
        <v>888</v>
      </c>
      <c r="AJ76" s="74" t="s">
        <v>101</v>
      </c>
    </row>
    <row r="77" spans="1:36" ht="15" customHeight="1" x14ac:dyDescent="0.35">
      <c r="A77" s="6" t="s">
        <v>95</v>
      </c>
      <c r="B77" s="47" t="s">
        <v>70</v>
      </c>
      <c r="C77" s="93" t="s">
        <v>34</v>
      </c>
      <c r="D77" s="51" t="s">
        <v>177</v>
      </c>
      <c r="E77" s="33">
        <v>457300</v>
      </c>
      <c r="F77" s="39"/>
      <c r="G77" s="92">
        <v>0</v>
      </c>
      <c r="H77" s="24">
        <f t="shared" si="27"/>
        <v>457300</v>
      </c>
      <c r="I77" s="23"/>
      <c r="J77" s="24">
        <f>36*PMT(0.04/12,36,-H77*0.9,0.9*E77*'restvärde o service'!$F$19)</f>
        <v>267668.95181264973</v>
      </c>
      <c r="K77" s="76">
        <v>36</v>
      </c>
      <c r="L77" s="24">
        <f>ROUNDDOWN(J77/3,-3)</f>
        <v>89000</v>
      </c>
      <c r="M77" s="88">
        <f t="shared" si="28"/>
        <v>0.7946428571428571</v>
      </c>
      <c r="N77" s="25">
        <v>57880</v>
      </c>
      <c r="O77" s="24">
        <f t="shared" si="29"/>
        <v>18200</v>
      </c>
      <c r="P77" s="24">
        <f t="shared" si="30"/>
        <v>4823.333333333333</v>
      </c>
      <c r="Q77" s="67">
        <v>0.59</v>
      </c>
      <c r="R77" s="84">
        <f>Q77*9</f>
        <v>5.31</v>
      </c>
      <c r="S77" s="25">
        <f>IF(AB77&gt;130,(360+4280+((AB77-130)*132)),(360+(107*(AB77-90))))</f>
        <v>5168</v>
      </c>
      <c r="T77" s="24"/>
      <c r="U77" s="95">
        <f>S77/$E$4</f>
        <v>3.4453333333333331</v>
      </c>
      <c r="V77" s="95">
        <f t="shared" si="17"/>
        <v>10.708500000000001</v>
      </c>
      <c r="W77" s="95">
        <f>Q77*1.1*$O$5*0.8</f>
        <v>8.5668000000000006</v>
      </c>
      <c r="X77" s="61">
        <f t="shared" si="31"/>
        <v>0.11492046911862291</v>
      </c>
      <c r="Y77" s="34">
        <f t="shared" si="26"/>
        <v>4</v>
      </c>
      <c r="Z77" s="95">
        <f>'restvärde o service'!$I$19</f>
        <v>3.2</v>
      </c>
      <c r="AA77" s="35"/>
      <c r="AB77" s="36">
        <v>134</v>
      </c>
      <c r="AC77" s="23">
        <f>'restvärde o service'!$J$19+'restvärde o service'!$K$19</f>
        <v>0</v>
      </c>
      <c r="AD77" s="37">
        <f>Q77*9.1*1.1*0.338*0.958*$E$4/1000</f>
        <v>2.8685310654000005</v>
      </c>
      <c r="AE77" s="30">
        <f t="shared" si="32"/>
        <v>112000</v>
      </c>
      <c r="AF77" s="31">
        <f t="shared" si="33"/>
        <v>74.54546666666667</v>
      </c>
      <c r="AG77" s="96">
        <f t="shared" si="34"/>
        <v>0</v>
      </c>
      <c r="AH77" s="57"/>
      <c r="AI77" s="57">
        <v>999</v>
      </c>
      <c r="AJ77" s="57"/>
    </row>
    <row r="78" spans="1:36" ht="15" customHeight="1" x14ac:dyDescent="0.35">
      <c r="R78" s="1"/>
      <c r="V78" s="1"/>
      <c r="AB78" s="63"/>
    </row>
    <row r="79" spans="1:36" x14ac:dyDescent="0.35">
      <c r="R79" s="1"/>
      <c r="V79" s="1"/>
    </row>
    <row r="80" spans="1:36" x14ac:dyDescent="0.35">
      <c r="R80" s="1"/>
      <c r="V80" s="1"/>
    </row>
  </sheetData>
  <sheetProtection algorithmName="SHA-512" hashValue="0ftNC88jgPy3TPJQpPFXSmlzotQM5N/OA+fZDQFjM4IFYmegHQlhD/WXVt3To8AZmkwYoJzS/jNEpHq1CVs6Eg==" saltValue="SlJSO40yRsGP/b1Uj10nVg==" spinCount="100000" sheet="1" selectLockedCells="1" sort="0" autoFilter="0" pivotTables="0"/>
  <autoFilter ref="A6:AJ77" xr:uid="{347F1B75-BC63-495C-8EF1-E0C127F2C36D}">
    <sortState xmlns:xlrd2="http://schemas.microsoft.com/office/spreadsheetml/2017/richdata2" ref="A7:AJ77">
      <sortCondition ref="AI6:AI77"/>
    </sortState>
  </autoFilter>
  <mergeCells count="3">
    <mergeCell ref="G3:G5"/>
    <mergeCell ref="H3:H5"/>
    <mergeCell ref="Q1:Q5"/>
  </mergeCells>
  <phoneticPr fontId="9" type="noConversion"/>
  <pageMargins left="0.7" right="0.7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4" name="Option Button 7">
              <controlPr defaultSize="0" autoFill="0" autoLine="0" autoPict="0" altText="Nej">
                <anchor moveWithCells="1">
                  <from>
                    <xdr:col>4</xdr:col>
                    <xdr:colOff>603250</xdr:colOff>
                    <xdr:row>4</xdr:row>
                    <xdr:rowOff>19050</xdr:rowOff>
                  </from>
                  <to>
                    <xdr:col>6</xdr:col>
                    <xdr:colOff>552450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Option Button 8">
              <controlPr defaultSize="0" autoFill="0" autoLine="0" autoPict="0" altText="">
                <anchor moveWithCells="1">
                  <from>
                    <xdr:col>4</xdr:col>
                    <xdr:colOff>31750</xdr:colOff>
                    <xdr:row>4</xdr:row>
                    <xdr:rowOff>19050</xdr:rowOff>
                  </from>
                  <to>
                    <xdr:col>4</xdr:col>
                    <xdr:colOff>590550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ECFE-7B9E-493A-B1C4-836813F90697}">
  <sheetPr codeName="Blad6"/>
  <dimension ref="A2:AD156"/>
  <sheetViews>
    <sheetView workbookViewId="0"/>
  </sheetViews>
  <sheetFormatPr defaultColWidth="9.1796875" defaultRowHeight="14.5" x14ac:dyDescent="0.35"/>
  <cols>
    <col min="1" max="3" width="9.1796875" style="99"/>
    <col min="4" max="8" width="17.26953125" style="99" customWidth="1"/>
    <col min="9" max="9" width="14.7265625" style="99" customWidth="1"/>
    <col min="10" max="10" width="13.453125" style="99" customWidth="1"/>
    <col min="11" max="11" width="10.26953125" style="99" bestFit="1" customWidth="1"/>
    <col min="12" max="12" width="10.7265625" style="99" customWidth="1"/>
    <col min="13" max="13" width="18.54296875" style="99" customWidth="1"/>
    <col min="14" max="14" width="9" style="99" customWidth="1"/>
    <col min="15" max="15" width="13.7265625" style="99" bestFit="1" customWidth="1"/>
    <col min="16" max="16" width="13.7265625" style="99" customWidth="1"/>
    <col min="17" max="17" width="11" style="99" customWidth="1"/>
    <col min="18" max="19" width="11.81640625" style="99" customWidth="1"/>
    <col min="20" max="20" width="13.7265625" style="99" customWidth="1"/>
    <col min="21" max="21" width="13.453125" style="99" bestFit="1" customWidth="1"/>
    <col min="22" max="22" width="9.1796875" style="99"/>
    <col min="23" max="23" width="11.81640625" style="99" customWidth="1"/>
    <col min="24" max="24" width="20.81640625" style="99" customWidth="1"/>
    <col min="25" max="29" width="9.1796875" style="99"/>
    <col min="30" max="30" width="11.453125" style="99" customWidth="1"/>
    <col min="31" max="16384" width="9.1796875" style="99"/>
  </cols>
  <sheetData>
    <row r="2" spans="3:30" x14ac:dyDescent="0.35">
      <c r="F2" s="99" t="s">
        <v>0</v>
      </c>
    </row>
    <row r="3" spans="3:30" x14ac:dyDescent="0.35">
      <c r="E3" s="99" t="s">
        <v>1</v>
      </c>
      <c r="F3" s="100">
        <v>20</v>
      </c>
      <c r="I3" s="99">
        <f>50/70</f>
        <v>0.7142857142857143</v>
      </c>
      <c r="AD3" s="136" t="s">
        <v>2</v>
      </c>
    </row>
    <row r="4" spans="3:30" x14ac:dyDescent="0.35">
      <c r="E4" s="99" t="s">
        <v>3</v>
      </c>
      <c r="F4" s="100">
        <v>16.5</v>
      </c>
      <c r="J4" s="100"/>
      <c r="AD4" s="136"/>
    </row>
    <row r="5" spans="3:30" x14ac:dyDescent="0.35">
      <c r="E5" s="99" t="s">
        <v>4</v>
      </c>
      <c r="F5" s="100">
        <v>1.5</v>
      </c>
      <c r="AD5" s="136"/>
    </row>
    <row r="6" spans="3:30" x14ac:dyDescent="0.35">
      <c r="AD6" s="136"/>
    </row>
    <row r="7" spans="3:30" x14ac:dyDescent="0.35">
      <c r="E7" s="101" t="s">
        <v>60</v>
      </c>
      <c r="F7" s="102" t="s">
        <v>58</v>
      </c>
      <c r="G7" s="102"/>
      <c r="I7" s="103" t="s">
        <v>5</v>
      </c>
      <c r="J7" s="103"/>
      <c r="K7" s="103"/>
      <c r="L7" s="103"/>
      <c r="M7" s="103"/>
      <c r="N7" s="103"/>
      <c r="AD7" s="136"/>
    </row>
    <row r="8" spans="3:30" ht="15" customHeight="1" x14ac:dyDescent="0.35">
      <c r="E8" s="101" t="s">
        <v>59</v>
      </c>
      <c r="F8" s="102" t="s">
        <v>61</v>
      </c>
      <c r="G8" s="102"/>
      <c r="I8" s="99" t="s">
        <v>6</v>
      </c>
      <c r="N8" s="137" t="s">
        <v>47</v>
      </c>
      <c r="O8" s="104">
        <v>439000</v>
      </c>
      <c r="P8" s="104">
        <v>364900</v>
      </c>
      <c r="Q8" s="104">
        <v>420000</v>
      </c>
      <c r="R8" s="104">
        <v>368000</v>
      </c>
      <c r="S8" s="104">
        <v>287000</v>
      </c>
      <c r="T8" s="104">
        <v>200000</v>
      </c>
      <c r="U8" s="104">
        <f>'[1]tjänstebilar 3 '!$AF$17</f>
        <v>229900</v>
      </c>
      <c r="W8" s="104">
        <f>'[1]utökad pb exkl tjb'!$AE$17</f>
        <v>199900</v>
      </c>
      <c r="X8" s="104">
        <f>'[1]tjänstebilar 3 '!$AF$30</f>
        <v>223900</v>
      </c>
    </row>
    <row r="9" spans="3:30" x14ac:dyDescent="0.35">
      <c r="F9" s="105"/>
      <c r="G9" s="105"/>
      <c r="I9" s="99" t="s">
        <v>7</v>
      </c>
      <c r="N9" s="137"/>
      <c r="O9" s="104">
        <v>-60000</v>
      </c>
      <c r="P9" s="104">
        <v>-60000</v>
      </c>
      <c r="Q9" s="104">
        <v>-60000</v>
      </c>
      <c r="R9" s="104">
        <v>-60000</v>
      </c>
      <c r="S9" s="104">
        <v>-60000</v>
      </c>
      <c r="T9" s="104"/>
      <c r="U9" s="104">
        <v>-10000</v>
      </c>
      <c r="W9" s="104"/>
      <c r="X9" s="104"/>
    </row>
    <row r="10" spans="3:30" x14ac:dyDescent="0.35">
      <c r="I10" s="99" t="s">
        <v>8</v>
      </c>
      <c r="N10" s="137"/>
      <c r="O10" s="104">
        <f>+O8+O9</f>
        <v>379000</v>
      </c>
      <c r="P10" s="104">
        <f t="shared" ref="P10:X10" si="0">+P8+P9</f>
        <v>304900</v>
      </c>
      <c r="Q10" s="104">
        <f t="shared" si="0"/>
        <v>360000</v>
      </c>
      <c r="R10" s="104">
        <f t="shared" si="0"/>
        <v>308000</v>
      </c>
      <c r="S10" s="104">
        <f t="shared" si="0"/>
        <v>227000</v>
      </c>
      <c r="T10" s="104">
        <f t="shared" si="0"/>
        <v>200000</v>
      </c>
      <c r="U10" s="104">
        <f t="shared" si="0"/>
        <v>219900</v>
      </c>
      <c r="V10" s="104"/>
      <c r="W10" s="104">
        <f t="shared" si="0"/>
        <v>199900</v>
      </c>
      <c r="X10" s="104">
        <f t="shared" si="0"/>
        <v>223900</v>
      </c>
    </row>
    <row r="11" spans="3:30" x14ac:dyDescent="0.35">
      <c r="C11" s="99" t="s">
        <v>9</v>
      </c>
      <c r="N11" s="137"/>
      <c r="O11" s="104"/>
      <c r="P11" s="104"/>
      <c r="Q11" s="104"/>
      <c r="R11" s="104"/>
      <c r="S11" s="104"/>
      <c r="T11" s="104">
        <f>360+250+(T15-95)*82+(T15*13.52)</f>
        <v>2754.08</v>
      </c>
      <c r="U11" s="104"/>
      <c r="W11" s="104">
        <f>360+250+(W15-95)*82+(W15*13.52)</f>
        <v>1894.3999999999999</v>
      </c>
      <c r="X11" s="104">
        <f>'[1]tjänstebilar 3 '!$Q$30</f>
        <v>2276</v>
      </c>
    </row>
    <row r="12" spans="3:30" x14ac:dyDescent="0.35">
      <c r="C12" s="99" t="s">
        <v>10</v>
      </c>
      <c r="N12" s="106"/>
      <c r="O12" s="104">
        <v>360</v>
      </c>
      <c r="P12" s="104">
        <v>360</v>
      </c>
      <c r="Q12" s="104">
        <v>360</v>
      </c>
      <c r="R12" s="104">
        <v>360</v>
      </c>
      <c r="S12" s="104">
        <v>360</v>
      </c>
      <c r="T12" s="104">
        <f>360+250+(T16-95)*82+(T16*13.52)</f>
        <v>4282.3999999999996</v>
      </c>
      <c r="U12" s="104">
        <v>360</v>
      </c>
      <c r="W12" s="104">
        <f>360+250+(W16-95)*82+(W16*13.52)</f>
        <v>4282.3999999999996</v>
      </c>
      <c r="X12" s="104">
        <f>360+250+(X16-95)*82+(X16*13.52)</f>
        <v>4760</v>
      </c>
    </row>
    <row r="13" spans="3:30" x14ac:dyDescent="0.35">
      <c r="D13" s="99" t="s">
        <v>11</v>
      </c>
      <c r="J13" s="101" t="s">
        <v>42</v>
      </c>
      <c r="K13" s="107">
        <v>228</v>
      </c>
      <c r="L13" s="107">
        <f>K13*36</f>
        <v>8208</v>
      </c>
      <c r="M13" s="107" t="s">
        <v>40</v>
      </c>
      <c r="N13" s="108">
        <f>L13/3000</f>
        <v>2.7360000000000002</v>
      </c>
      <c r="O13" s="109">
        <f>1.54*1.1*0.8*F5</f>
        <v>2.0328000000000004</v>
      </c>
      <c r="P13" s="109">
        <f>1.5*1.1*0.8*F5</f>
        <v>1.9800000000000004</v>
      </c>
      <c r="Q13" s="109">
        <f>1.78*1.1*0.8*F5</f>
        <v>2.3496000000000006</v>
      </c>
      <c r="R13" s="109">
        <f>1.78*1.1*0.8*F5</f>
        <v>2.3496000000000006</v>
      </c>
      <c r="S13" s="109">
        <f>1.78*1.1*0.8*F5</f>
        <v>2.3496000000000006</v>
      </c>
      <c r="T13" s="109">
        <f>0.4*1.4*$F$4*0.8</f>
        <v>7.3919999999999995</v>
      </c>
      <c r="U13" s="109">
        <f>4*1.4*$F$3/13*0.8</f>
        <v>6.8923076923076927</v>
      </c>
      <c r="W13" s="109">
        <f>0.4*1.4*$F$4*0.8</f>
        <v>7.3919999999999995</v>
      </c>
      <c r="X13" s="109">
        <f>0.4*1.4*17*0.8</f>
        <v>7.6159999999999997</v>
      </c>
    </row>
    <row r="14" spans="3:30" x14ac:dyDescent="0.35">
      <c r="D14" s="99" t="s">
        <v>12</v>
      </c>
      <c r="J14" s="101" t="s">
        <v>45</v>
      </c>
      <c r="K14" s="107">
        <v>266</v>
      </c>
      <c r="L14" s="107">
        <f>K14*36</f>
        <v>9576</v>
      </c>
      <c r="M14" s="110">
        <f>L14-L13</f>
        <v>1368</v>
      </c>
      <c r="N14" s="111">
        <f>M14/1500</f>
        <v>0.91200000000000003</v>
      </c>
      <c r="O14" s="104">
        <f>300*36</f>
        <v>10800</v>
      </c>
      <c r="P14" s="104">
        <f>300*36</f>
        <v>10800</v>
      </c>
      <c r="Q14" s="104">
        <f>300*36</f>
        <v>10800</v>
      </c>
      <c r="R14" s="104">
        <f>300*36*0</f>
        <v>0</v>
      </c>
      <c r="S14" s="104">
        <f>300*36*0</f>
        <v>0</v>
      </c>
      <c r="T14" s="104">
        <f>400*36*1</f>
        <v>14400</v>
      </c>
      <c r="U14" s="104">
        <f>400*36*0</f>
        <v>0</v>
      </c>
      <c r="W14" s="104">
        <f>400*36</f>
        <v>14400</v>
      </c>
      <c r="X14" s="104">
        <f>400*36</f>
        <v>14400</v>
      </c>
    </row>
    <row r="15" spans="3:30" x14ac:dyDescent="0.35">
      <c r="D15" s="101" t="s">
        <v>13</v>
      </c>
      <c r="E15" s="101"/>
      <c r="F15" s="101"/>
      <c r="G15" s="101"/>
      <c r="H15" s="101"/>
      <c r="I15" s="101"/>
      <c r="J15" s="101" t="s">
        <v>43</v>
      </c>
      <c r="K15" s="107">
        <v>302</v>
      </c>
      <c r="L15" s="107">
        <f>K15*36</f>
        <v>10872</v>
      </c>
      <c r="M15" s="110">
        <f>L15-L14</f>
        <v>1296</v>
      </c>
      <c r="N15" s="111">
        <f>M15/1500</f>
        <v>0.86399999999999999</v>
      </c>
      <c r="O15" s="104"/>
      <c r="P15" s="104"/>
      <c r="Q15" s="104"/>
      <c r="R15" s="104"/>
      <c r="S15" s="104"/>
      <c r="T15" s="112">
        <v>104</v>
      </c>
      <c r="W15" s="112">
        <v>95</v>
      </c>
      <c r="X15" s="104"/>
    </row>
    <row r="16" spans="3:30" x14ac:dyDescent="0.35">
      <c r="D16" s="101" t="s">
        <v>14</v>
      </c>
      <c r="E16" s="101"/>
      <c r="F16" s="101"/>
      <c r="G16" s="101"/>
      <c r="H16" s="101"/>
      <c r="I16" s="101"/>
      <c r="J16" s="101" t="s">
        <v>44</v>
      </c>
      <c r="K16" s="107">
        <v>377</v>
      </c>
      <c r="L16" s="107">
        <f>K16*36</f>
        <v>13572</v>
      </c>
      <c r="M16" s="110">
        <f>L16-L15</f>
        <v>2700</v>
      </c>
      <c r="N16" s="111">
        <f>M16/3000</f>
        <v>0.9</v>
      </c>
      <c r="T16" s="112">
        <v>120</v>
      </c>
      <c r="U16" s="104"/>
      <c r="W16" s="112">
        <v>120</v>
      </c>
      <c r="X16" s="99">
        <v>125</v>
      </c>
    </row>
    <row r="17" spans="3:30" x14ac:dyDescent="0.35">
      <c r="D17" s="113" t="s">
        <v>15</v>
      </c>
      <c r="E17" s="113"/>
      <c r="F17" s="113"/>
      <c r="G17" s="113"/>
      <c r="H17" s="113"/>
      <c r="I17" s="113"/>
      <c r="J17" s="101" t="s">
        <v>46</v>
      </c>
      <c r="K17" s="107">
        <v>525</v>
      </c>
      <c r="L17" s="107">
        <f>K17*36</f>
        <v>18900</v>
      </c>
      <c r="M17" s="110">
        <f>L17-L16</f>
        <v>5328</v>
      </c>
      <c r="N17" s="111">
        <f>M17/6000</f>
        <v>0.88800000000000001</v>
      </c>
      <c r="O17" s="104">
        <f t="shared" ref="O17:U17" si="1">(O12*3)+O14</f>
        <v>11880</v>
      </c>
      <c r="P17" s="104">
        <f t="shared" si="1"/>
        <v>11880</v>
      </c>
      <c r="Q17" s="104">
        <f t="shared" si="1"/>
        <v>11880</v>
      </c>
      <c r="R17" s="104">
        <f t="shared" si="1"/>
        <v>1080</v>
      </c>
      <c r="S17" s="104">
        <f t="shared" si="1"/>
        <v>1080</v>
      </c>
      <c r="T17" s="104">
        <f t="shared" si="1"/>
        <v>27247.199999999997</v>
      </c>
      <c r="U17" s="104">
        <f t="shared" si="1"/>
        <v>1080</v>
      </c>
      <c r="W17" s="104">
        <f>W9+(W12*3)+W14</f>
        <v>27247.199999999997</v>
      </c>
      <c r="X17" s="104">
        <f>X9+(X12*3)+X14</f>
        <v>28680</v>
      </c>
    </row>
    <row r="18" spans="3:30" ht="58" x14ac:dyDescent="0.35">
      <c r="C18" s="114" t="s">
        <v>27</v>
      </c>
      <c r="D18" s="114" t="s">
        <v>16</v>
      </c>
      <c r="E18" s="114"/>
      <c r="F18" s="115" t="s">
        <v>96</v>
      </c>
      <c r="G18" s="115" t="s">
        <v>97</v>
      </c>
      <c r="H18" s="115" t="s">
        <v>37</v>
      </c>
      <c r="I18" s="115" t="s">
        <v>36</v>
      </c>
      <c r="J18" s="115" t="s">
        <v>38</v>
      </c>
      <c r="K18" s="115" t="s">
        <v>39</v>
      </c>
      <c r="L18" s="115" t="s">
        <v>41</v>
      </c>
      <c r="M18" s="115"/>
      <c r="N18" s="115"/>
      <c r="O18" s="114" t="s">
        <v>17</v>
      </c>
      <c r="P18" s="114" t="s">
        <v>18</v>
      </c>
      <c r="Q18" s="114" t="s">
        <v>19</v>
      </c>
      <c r="R18" s="114" t="s">
        <v>20</v>
      </c>
      <c r="S18" s="114" t="s">
        <v>21</v>
      </c>
      <c r="T18" s="114" t="s">
        <v>22</v>
      </c>
      <c r="U18" s="114" t="s">
        <v>23</v>
      </c>
      <c r="V18" s="116" t="s">
        <v>24</v>
      </c>
      <c r="W18" s="114" t="s">
        <v>25</v>
      </c>
      <c r="X18" s="114" t="s">
        <v>26</v>
      </c>
      <c r="AB18" s="114" t="s">
        <v>28</v>
      </c>
      <c r="AD18" s="117" t="s">
        <v>29</v>
      </c>
    </row>
    <row r="19" spans="3:30" x14ac:dyDescent="0.35">
      <c r="C19" s="118">
        <f>'Tabell sorterbar'!E4</f>
        <v>1500</v>
      </c>
      <c r="D19" s="118">
        <f>ROUNDDOWN('Tabell sorterbar'!$E$4*3,-2)</f>
        <v>4500</v>
      </c>
      <c r="E19" s="118">
        <f>ROUNDDOWN('Tabell sorterbar'!$E$4*5,-2)</f>
        <v>7500</v>
      </c>
      <c r="F19" s="119">
        <f>SUM(F20:F156)</f>
        <v>0.43750000000000006</v>
      </c>
      <c r="G19" s="119">
        <f>SUM(G20:G156)</f>
        <v>0.29999999999999993</v>
      </c>
      <c r="H19" s="119"/>
      <c r="I19" s="120">
        <f>1/$D$19*IF($D$19&lt;4500,14400,(14400+(3.2*($D$19-4500))))</f>
        <v>3.2</v>
      </c>
      <c r="J19" s="121">
        <f>IF($D$19&lt;5000,0,IF($D$19&lt;10000,6000,12000))</f>
        <v>0</v>
      </c>
      <c r="K19" s="121">
        <f>IF($D$19&lt;7500,0,IF($D$19&lt;15000,6000,12000))</f>
        <v>0</v>
      </c>
      <c r="L19" s="120" t="e">
        <f>IF($A$18&lt;3000,8200,(8200-3000+A18))/$A$18</f>
        <v>#DIV/0!</v>
      </c>
      <c r="M19" s="121"/>
      <c r="N19" s="121"/>
      <c r="O19" s="114"/>
      <c r="P19" s="114"/>
      <c r="Q19" s="114"/>
      <c r="R19" s="114"/>
      <c r="S19" s="114"/>
      <c r="T19" s="114"/>
      <c r="U19" s="114"/>
      <c r="V19" s="116"/>
      <c r="W19" s="114"/>
      <c r="X19" s="114"/>
      <c r="AB19" s="114"/>
      <c r="AD19" s="117"/>
    </row>
    <row r="20" spans="3:30" x14ac:dyDescent="0.35">
      <c r="C20" s="118">
        <v>1499</v>
      </c>
      <c r="D20" s="122">
        <f>+D21+$B$46</f>
        <v>0.58000000000000007</v>
      </c>
      <c r="E20" s="122">
        <f t="shared" ref="E20:E53" si="2">E21+$B$66</f>
        <v>0.44000000000000006</v>
      </c>
      <c r="F20" s="123" t="str">
        <f t="shared" ref="F20:F80" si="3">IF($D$19=C20,D20,"")</f>
        <v/>
      </c>
      <c r="G20" s="123" t="str">
        <f t="shared" ref="G20:G80" si="4">IF($E$19=C20,E20,"")</f>
        <v/>
      </c>
      <c r="H20" s="104">
        <f>400*36</f>
        <v>14400</v>
      </c>
      <c r="I20" s="124"/>
      <c r="J20" s="123" t="str">
        <f>IF($A$18=D20,I20,"")</f>
        <v/>
      </c>
      <c r="K20" s="123" t="str">
        <f>IF($A$18=F20,J20,"")</f>
        <v/>
      </c>
      <c r="L20" s="104"/>
      <c r="M20" s="104"/>
      <c r="N20" s="104"/>
      <c r="O20" s="114"/>
      <c r="P20" s="114"/>
      <c r="Q20" s="114"/>
      <c r="R20" s="114"/>
      <c r="S20" s="114"/>
      <c r="T20" s="114"/>
      <c r="U20" s="114"/>
      <c r="V20" s="116"/>
      <c r="W20" s="114"/>
      <c r="X20" s="114"/>
      <c r="AB20" s="114"/>
      <c r="AD20" s="117"/>
    </row>
    <row r="21" spans="3:30" x14ac:dyDescent="0.35">
      <c r="C21" s="118">
        <v>1500</v>
      </c>
      <c r="D21" s="122">
        <f t="shared" ref="D21:D43" si="5">+D22+$B$46</f>
        <v>0.57500000000000007</v>
      </c>
      <c r="E21" s="122">
        <f t="shared" si="2"/>
        <v>0.43750000000000006</v>
      </c>
      <c r="F21" s="123" t="str">
        <f t="shared" si="3"/>
        <v/>
      </c>
      <c r="G21" s="123" t="str">
        <f t="shared" si="4"/>
        <v/>
      </c>
      <c r="H21" s="104">
        <f t="shared" ref="H21:H65" si="6">400*36</f>
        <v>14400</v>
      </c>
      <c r="I21" s="104" t="str">
        <f t="shared" ref="I21:I64" si="7">IF($A$18=C21,H21,"")</f>
        <v/>
      </c>
      <c r="J21" s="123"/>
      <c r="K21" s="123"/>
      <c r="L21" s="123"/>
      <c r="M21" s="123"/>
      <c r="N21" s="123"/>
      <c r="O21" s="114"/>
      <c r="P21" s="114"/>
      <c r="Q21" s="114"/>
      <c r="R21" s="114"/>
      <c r="S21" s="114"/>
      <c r="T21" s="114"/>
      <c r="U21" s="114"/>
      <c r="V21" s="116"/>
      <c r="W21" s="114"/>
      <c r="X21" s="114"/>
      <c r="AB21" s="114"/>
      <c r="AD21" s="117"/>
    </row>
    <row r="22" spans="3:30" x14ac:dyDescent="0.35">
      <c r="C22" s="118">
        <v>1600</v>
      </c>
      <c r="D22" s="122">
        <f t="shared" si="5"/>
        <v>0.57000000000000006</v>
      </c>
      <c r="E22" s="122">
        <f t="shared" si="2"/>
        <v>0.43500000000000005</v>
      </c>
      <c r="F22" s="123" t="str">
        <f t="shared" si="3"/>
        <v/>
      </c>
      <c r="G22" s="123" t="str">
        <f t="shared" si="4"/>
        <v/>
      </c>
      <c r="H22" s="104">
        <f t="shared" si="6"/>
        <v>14400</v>
      </c>
      <c r="I22" s="104" t="str">
        <f t="shared" si="7"/>
        <v/>
      </c>
      <c r="J22" s="123"/>
      <c r="K22" s="123"/>
      <c r="L22" s="123"/>
      <c r="M22" s="123"/>
      <c r="N22" s="123"/>
      <c r="O22" s="114"/>
      <c r="P22" s="114"/>
      <c r="Q22" s="114"/>
      <c r="R22" s="114"/>
      <c r="S22" s="114"/>
      <c r="T22" s="114"/>
      <c r="U22" s="114"/>
      <c r="V22" s="116"/>
      <c r="W22" s="114"/>
      <c r="X22" s="114"/>
      <c r="AB22" s="114"/>
      <c r="AD22" s="117"/>
    </row>
    <row r="23" spans="3:30" x14ac:dyDescent="0.35">
      <c r="C23" s="118">
        <v>1700</v>
      </c>
      <c r="D23" s="122">
        <f t="shared" si="5"/>
        <v>0.56500000000000006</v>
      </c>
      <c r="E23" s="122">
        <f t="shared" si="2"/>
        <v>0.43250000000000005</v>
      </c>
      <c r="F23" s="123" t="str">
        <f t="shared" si="3"/>
        <v/>
      </c>
      <c r="G23" s="123" t="str">
        <f t="shared" si="4"/>
        <v/>
      </c>
      <c r="H23" s="104">
        <f t="shared" si="6"/>
        <v>14400</v>
      </c>
      <c r="I23" s="104" t="str">
        <f t="shared" si="7"/>
        <v/>
      </c>
      <c r="J23" s="123"/>
      <c r="K23" s="123"/>
      <c r="L23" s="123"/>
      <c r="M23" s="123"/>
      <c r="N23" s="123"/>
      <c r="O23" s="114"/>
      <c r="P23" s="114"/>
      <c r="Q23" s="114"/>
      <c r="R23" s="114"/>
      <c r="S23" s="114"/>
      <c r="T23" s="114"/>
      <c r="U23" s="114"/>
      <c r="V23" s="116"/>
      <c r="W23" s="114"/>
      <c r="X23" s="114"/>
      <c r="AB23" s="114"/>
      <c r="AD23" s="117"/>
    </row>
    <row r="24" spans="3:30" x14ac:dyDescent="0.35">
      <c r="C24" s="118">
        <v>1800</v>
      </c>
      <c r="D24" s="122">
        <f t="shared" si="5"/>
        <v>0.56000000000000005</v>
      </c>
      <c r="E24" s="122">
        <f t="shared" si="2"/>
        <v>0.43000000000000005</v>
      </c>
      <c r="F24" s="123" t="str">
        <f t="shared" si="3"/>
        <v/>
      </c>
      <c r="G24" s="123" t="str">
        <f t="shared" si="4"/>
        <v/>
      </c>
      <c r="H24" s="104">
        <f t="shared" si="6"/>
        <v>14400</v>
      </c>
      <c r="I24" s="104" t="str">
        <f t="shared" si="7"/>
        <v/>
      </c>
      <c r="J24" s="123"/>
      <c r="K24" s="123"/>
      <c r="L24" s="123"/>
      <c r="M24" s="123"/>
      <c r="N24" s="123"/>
      <c r="O24" s="114"/>
      <c r="P24" s="114"/>
      <c r="Q24" s="114"/>
      <c r="R24" s="114"/>
      <c r="S24" s="114"/>
      <c r="T24" s="114"/>
      <c r="U24" s="114"/>
      <c r="V24" s="116"/>
      <c r="W24" s="114"/>
      <c r="X24" s="114"/>
      <c r="AB24" s="114"/>
      <c r="AD24" s="117"/>
    </row>
    <row r="25" spans="3:30" x14ac:dyDescent="0.35">
      <c r="C25" s="118">
        <v>1900</v>
      </c>
      <c r="D25" s="122">
        <f t="shared" si="5"/>
        <v>0.55500000000000005</v>
      </c>
      <c r="E25" s="122">
        <f t="shared" si="2"/>
        <v>0.42750000000000005</v>
      </c>
      <c r="F25" s="123" t="str">
        <f t="shared" si="3"/>
        <v/>
      </c>
      <c r="G25" s="123" t="str">
        <f t="shared" si="4"/>
        <v/>
      </c>
      <c r="H25" s="104">
        <f t="shared" si="6"/>
        <v>14400</v>
      </c>
      <c r="I25" s="104" t="str">
        <f t="shared" si="7"/>
        <v/>
      </c>
      <c r="J25" s="123"/>
      <c r="K25" s="123"/>
      <c r="L25" s="123"/>
      <c r="M25" s="123"/>
      <c r="N25" s="123"/>
      <c r="O25" s="114"/>
      <c r="P25" s="114"/>
      <c r="Q25" s="114"/>
      <c r="R25" s="114"/>
      <c r="S25" s="114"/>
      <c r="T25" s="114"/>
      <c r="U25" s="114"/>
      <c r="V25" s="116"/>
      <c r="W25" s="114"/>
      <c r="X25" s="114"/>
      <c r="AB25" s="114"/>
      <c r="AD25" s="117"/>
    </row>
    <row r="26" spans="3:30" x14ac:dyDescent="0.35">
      <c r="C26" s="118">
        <v>2000</v>
      </c>
      <c r="D26" s="122">
        <f t="shared" si="5"/>
        <v>0.55000000000000004</v>
      </c>
      <c r="E26" s="122">
        <f t="shared" si="2"/>
        <v>0.42500000000000004</v>
      </c>
      <c r="F26" s="123" t="str">
        <f t="shared" si="3"/>
        <v/>
      </c>
      <c r="G26" s="123" t="str">
        <f t="shared" si="4"/>
        <v/>
      </c>
      <c r="H26" s="104">
        <f t="shared" si="6"/>
        <v>14400</v>
      </c>
      <c r="I26" s="104" t="str">
        <f t="shared" si="7"/>
        <v/>
      </c>
      <c r="J26" s="123"/>
      <c r="K26" s="123"/>
      <c r="L26" s="123"/>
      <c r="M26" s="123"/>
      <c r="N26" s="123"/>
      <c r="O26" s="114"/>
      <c r="P26" s="114"/>
      <c r="Q26" s="114"/>
      <c r="R26" s="114"/>
      <c r="S26" s="114"/>
      <c r="T26" s="114"/>
      <c r="U26" s="114"/>
      <c r="V26" s="116"/>
      <c r="W26" s="114"/>
      <c r="X26" s="114"/>
      <c r="AB26" s="114"/>
      <c r="AD26" s="117"/>
    </row>
    <row r="27" spans="3:30" x14ac:dyDescent="0.35">
      <c r="C27" s="118">
        <v>2100</v>
      </c>
      <c r="D27" s="122">
        <f t="shared" si="5"/>
        <v>0.54500000000000004</v>
      </c>
      <c r="E27" s="122">
        <f t="shared" si="2"/>
        <v>0.42250000000000004</v>
      </c>
      <c r="F27" s="123" t="str">
        <f t="shared" si="3"/>
        <v/>
      </c>
      <c r="G27" s="123" t="str">
        <f t="shared" si="4"/>
        <v/>
      </c>
      <c r="H27" s="104">
        <f t="shared" si="6"/>
        <v>14400</v>
      </c>
      <c r="I27" s="104" t="str">
        <f t="shared" si="7"/>
        <v/>
      </c>
      <c r="J27" s="123"/>
      <c r="K27" s="123"/>
      <c r="L27" s="123"/>
      <c r="M27" s="123"/>
      <c r="N27" s="123"/>
      <c r="O27" s="114"/>
      <c r="P27" s="114"/>
      <c r="Q27" s="114"/>
      <c r="R27" s="114"/>
      <c r="S27" s="114"/>
      <c r="T27" s="114"/>
      <c r="U27" s="114"/>
      <c r="V27" s="116"/>
      <c r="W27" s="114"/>
      <c r="X27" s="114"/>
      <c r="AB27" s="114"/>
      <c r="AD27" s="117"/>
    </row>
    <row r="28" spans="3:30" x14ac:dyDescent="0.35">
      <c r="C28" s="118">
        <v>2200</v>
      </c>
      <c r="D28" s="122">
        <f t="shared" si="5"/>
        <v>0.54</v>
      </c>
      <c r="E28" s="122">
        <f t="shared" si="2"/>
        <v>0.42000000000000004</v>
      </c>
      <c r="F28" s="123" t="str">
        <f t="shared" si="3"/>
        <v/>
      </c>
      <c r="G28" s="123" t="str">
        <f t="shared" si="4"/>
        <v/>
      </c>
      <c r="H28" s="104">
        <f t="shared" si="6"/>
        <v>14400</v>
      </c>
      <c r="I28" s="104" t="str">
        <f t="shared" si="7"/>
        <v/>
      </c>
      <c r="J28" s="123"/>
      <c r="K28" s="123"/>
      <c r="L28" s="123"/>
      <c r="M28" s="123"/>
      <c r="N28" s="123"/>
      <c r="O28" s="114"/>
      <c r="P28" s="114"/>
      <c r="Q28" s="114"/>
      <c r="R28" s="114"/>
      <c r="S28" s="114"/>
      <c r="T28" s="114"/>
      <c r="U28" s="114"/>
      <c r="V28" s="116"/>
      <c r="W28" s="114"/>
      <c r="X28" s="114"/>
      <c r="AB28" s="114"/>
      <c r="AD28" s="117"/>
    </row>
    <row r="29" spans="3:30" x14ac:dyDescent="0.35">
      <c r="C29" s="118">
        <v>2300</v>
      </c>
      <c r="D29" s="122">
        <f t="shared" si="5"/>
        <v>0.53500000000000003</v>
      </c>
      <c r="E29" s="122">
        <f t="shared" si="2"/>
        <v>0.41750000000000004</v>
      </c>
      <c r="F29" s="123" t="str">
        <f t="shared" si="3"/>
        <v/>
      </c>
      <c r="G29" s="123" t="str">
        <f t="shared" si="4"/>
        <v/>
      </c>
      <c r="H29" s="104">
        <f t="shared" si="6"/>
        <v>14400</v>
      </c>
      <c r="I29" s="104" t="str">
        <f t="shared" si="7"/>
        <v/>
      </c>
      <c r="J29" s="123"/>
      <c r="K29" s="123"/>
      <c r="L29" s="123"/>
      <c r="M29" s="123"/>
      <c r="N29" s="123"/>
      <c r="O29" s="114"/>
      <c r="P29" s="114"/>
      <c r="Q29" s="114"/>
      <c r="R29" s="114"/>
      <c r="S29" s="114"/>
      <c r="T29" s="114"/>
      <c r="U29" s="114"/>
      <c r="V29" s="116"/>
      <c r="W29" s="114"/>
      <c r="X29" s="114"/>
      <c r="AB29" s="114"/>
      <c r="AD29" s="117"/>
    </row>
    <row r="30" spans="3:30" x14ac:dyDescent="0.35">
      <c r="C30" s="118">
        <v>2400</v>
      </c>
      <c r="D30" s="122">
        <f t="shared" si="5"/>
        <v>0.53</v>
      </c>
      <c r="E30" s="122">
        <f t="shared" si="2"/>
        <v>0.41500000000000004</v>
      </c>
      <c r="F30" s="123" t="str">
        <f t="shared" si="3"/>
        <v/>
      </c>
      <c r="G30" s="123" t="str">
        <f t="shared" si="4"/>
        <v/>
      </c>
      <c r="H30" s="104">
        <f t="shared" si="6"/>
        <v>14400</v>
      </c>
      <c r="I30" s="104" t="str">
        <f t="shared" si="7"/>
        <v/>
      </c>
      <c r="J30" s="123"/>
      <c r="K30" s="123"/>
      <c r="L30" s="123"/>
      <c r="M30" s="123"/>
      <c r="N30" s="123"/>
      <c r="O30" s="114"/>
      <c r="P30" s="114"/>
      <c r="Q30" s="114"/>
      <c r="R30" s="114"/>
      <c r="S30" s="114"/>
      <c r="T30" s="114"/>
      <c r="U30" s="114"/>
      <c r="V30" s="116"/>
      <c r="W30" s="114"/>
      <c r="X30" s="114"/>
      <c r="AB30" s="114"/>
      <c r="AD30" s="117"/>
    </row>
    <row r="31" spans="3:30" x14ac:dyDescent="0.35">
      <c r="C31" s="118">
        <v>2500</v>
      </c>
      <c r="D31" s="122">
        <f t="shared" si="5"/>
        <v>0.52500000000000002</v>
      </c>
      <c r="E31" s="122">
        <f t="shared" si="2"/>
        <v>0.41250000000000003</v>
      </c>
      <c r="F31" s="123" t="str">
        <f t="shared" si="3"/>
        <v/>
      </c>
      <c r="G31" s="123" t="str">
        <f t="shared" si="4"/>
        <v/>
      </c>
      <c r="H31" s="104">
        <f t="shared" si="6"/>
        <v>14400</v>
      </c>
      <c r="I31" s="104" t="str">
        <f t="shared" si="7"/>
        <v/>
      </c>
      <c r="J31" s="123"/>
      <c r="K31" s="123"/>
      <c r="L31" s="123"/>
      <c r="M31" s="123"/>
      <c r="N31" s="123"/>
      <c r="O31" s="114"/>
      <c r="P31" s="114"/>
      <c r="Q31" s="114"/>
      <c r="R31" s="114"/>
      <c r="S31" s="114"/>
      <c r="T31" s="114"/>
      <c r="U31" s="114"/>
      <c r="V31" s="116"/>
      <c r="W31" s="114"/>
      <c r="X31" s="114"/>
      <c r="AB31" s="114"/>
      <c r="AD31" s="117"/>
    </row>
    <row r="32" spans="3:30" x14ac:dyDescent="0.35">
      <c r="C32" s="118">
        <v>2600</v>
      </c>
      <c r="D32" s="122">
        <f t="shared" si="5"/>
        <v>0.52</v>
      </c>
      <c r="E32" s="122">
        <f t="shared" si="2"/>
        <v>0.41000000000000003</v>
      </c>
      <c r="F32" s="123" t="str">
        <f t="shared" si="3"/>
        <v/>
      </c>
      <c r="G32" s="123" t="str">
        <f t="shared" si="4"/>
        <v/>
      </c>
      <c r="H32" s="104">
        <f t="shared" si="6"/>
        <v>14400</v>
      </c>
      <c r="I32" s="104" t="str">
        <f t="shared" si="7"/>
        <v/>
      </c>
      <c r="J32" s="123"/>
      <c r="K32" s="123"/>
      <c r="L32" s="123"/>
      <c r="M32" s="123"/>
      <c r="N32" s="123"/>
      <c r="O32" s="114"/>
      <c r="P32" s="114"/>
      <c r="Q32" s="114"/>
      <c r="R32" s="114"/>
      <c r="S32" s="114"/>
      <c r="T32" s="114"/>
      <c r="U32" s="114"/>
      <c r="V32" s="116"/>
      <c r="W32" s="114"/>
      <c r="X32" s="114"/>
      <c r="AB32" s="114"/>
      <c r="AD32" s="117"/>
    </row>
    <row r="33" spans="2:30" x14ac:dyDescent="0.35">
      <c r="C33" s="118">
        <v>2700</v>
      </c>
      <c r="D33" s="122">
        <f t="shared" si="5"/>
        <v>0.51500000000000001</v>
      </c>
      <c r="E33" s="122">
        <f t="shared" si="2"/>
        <v>0.40750000000000003</v>
      </c>
      <c r="F33" s="123" t="str">
        <f t="shared" si="3"/>
        <v/>
      </c>
      <c r="G33" s="123" t="str">
        <f t="shared" si="4"/>
        <v/>
      </c>
      <c r="H33" s="104">
        <f t="shared" si="6"/>
        <v>14400</v>
      </c>
      <c r="I33" s="104" t="str">
        <f t="shared" si="7"/>
        <v/>
      </c>
      <c r="J33" s="123"/>
      <c r="K33" s="123"/>
      <c r="L33" s="123"/>
      <c r="M33" s="123"/>
      <c r="N33" s="123"/>
      <c r="O33" s="114"/>
      <c r="P33" s="114"/>
      <c r="Q33" s="114"/>
      <c r="R33" s="114"/>
      <c r="S33" s="114"/>
      <c r="T33" s="114"/>
      <c r="U33" s="114"/>
      <c r="V33" s="116"/>
      <c r="W33" s="114"/>
      <c r="X33" s="114"/>
      <c r="AB33" s="114"/>
      <c r="AD33" s="117"/>
    </row>
    <row r="34" spans="2:30" x14ac:dyDescent="0.35">
      <c r="C34" s="118">
        <v>2800</v>
      </c>
      <c r="D34" s="122">
        <f t="shared" si="5"/>
        <v>0.51</v>
      </c>
      <c r="E34" s="122">
        <f t="shared" si="2"/>
        <v>0.40500000000000003</v>
      </c>
      <c r="F34" s="123" t="str">
        <f t="shared" si="3"/>
        <v/>
      </c>
      <c r="G34" s="123" t="str">
        <f t="shared" si="4"/>
        <v/>
      </c>
      <c r="H34" s="104">
        <f t="shared" si="6"/>
        <v>14400</v>
      </c>
      <c r="I34" s="104" t="str">
        <f t="shared" si="7"/>
        <v/>
      </c>
      <c r="J34" s="123"/>
      <c r="K34" s="123"/>
      <c r="L34" s="123"/>
      <c r="M34" s="123"/>
      <c r="N34" s="123"/>
      <c r="O34" s="114"/>
      <c r="P34" s="114"/>
      <c r="Q34" s="114"/>
      <c r="R34" s="114"/>
      <c r="S34" s="114"/>
      <c r="T34" s="114"/>
      <c r="U34" s="114"/>
      <c r="V34" s="116"/>
      <c r="W34" s="114"/>
      <c r="X34" s="114"/>
      <c r="AB34" s="114"/>
      <c r="AD34" s="117"/>
    </row>
    <row r="35" spans="2:30" x14ac:dyDescent="0.35">
      <c r="C35" s="118">
        <v>2900</v>
      </c>
      <c r="D35" s="122">
        <f t="shared" si="5"/>
        <v>0.505</v>
      </c>
      <c r="E35" s="122">
        <f t="shared" si="2"/>
        <v>0.40250000000000002</v>
      </c>
      <c r="F35" s="123" t="str">
        <f t="shared" si="3"/>
        <v/>
      </c>
      <c r="G35" s="123" t="str">
        <f t="shared" si="4"/>
        <v/>
      </c>
      <c r="H35" s="104">
        <f t="shared" si="6"/>
        <v>14400</v>
      </c>
      <c r="I35" s="104" t="str">
        <f t="shared" si="7"/>
        <v/>
      </c>
      <c r="J35" s="123"/>
      <c r="K35" s="123"/>
      <c r="L35" s="123"/>
      <c r="M35" s="123"/>
      <c r="N35" s="123"/>
      <c r="O35" s="114"/>
      <c r="P35" s="114"/>
      <c r="Q35" s="114"/>
      <c r="R35" s="114"/>
      <c r="S35" s="114"/>
      <c r="T35" s="114"/>
      <c r="U35" s="114"/>
      <c r="V35" s="116"/>
      <c r="W35" s="114"/>
      <c r="X35" s="114"/>
      <c r="AB35" s="114"/>
      <c r="AD35" s="117"/>
    </row>
    <row r="36" spans="2:30" x14ac:dyDescent="0.35">
      <c r="C36" s="118">
        <v>3000</v>
      </c>
      <c r="D36" s="122">
        <f t="shared" si="5"/>
        <v>0.5</v>
      </c>
      <c r="E36" s="122">
        <f t="shared" si="2"/>
        <v>0.4</v>
      </c>
      <c r="F36" s="123" t="str">
        <f t="shared" si="3"/>
        <v/>
      </c>
      <c r="G36" s="123" t="str">
        <f t="shared" si="4"/>
        <v/>
      </c>
      <c r="H36" s="104">
        <f t="shared" si="6"/>
        <v>14400</v>
      </c>
      <c r="I36" s="104" t="str">
        <f t="shared" si="7"/>
        <v/>
      </c>
      <c r="J36" s="123"/>
      <c r="K36" s="123"/>
      <c r="L36" s="123"/>
      <c r="M36" s="123"/>
      <c r="N36" s="123"/>
      <c r="O36" s="125">
        <f t="shared" ref="O36:O67" si="8">((36*PMT(0.04/12,36,-$O$10*0.9,$O$8*$D36*0.9))/$C36)+(O$17/$C36)+O$13</f>
        <v>64.75281657278893</v>
      </c>
      <c r="P36" s="126">
        <f t="shared" ref="P36:P67" si="9">((36*PMT(0.04/12,36,-$P$10*0.9,$P$8*$D36*0.9))/$C36)+(P$17/$C36)+P$13</f>
        <v>51.552489212150505</v>
      </c>
      <c r="Q36" s="125">
        <f t="shared" ref="Q36:Q67" si="10">((36*PMT(0.04/12,36,-$Q$10*0.9,$Q$8*$D36*0.9))/$C36)+(Q$17/$C36)+Q$13</f>
        <v>61.698455711086773</v>
      </c>
      <c r="R36" s="125">
        <f t="shared" ref="R36:R67" si="11">((36*PMT(0.04/12,36,-$R$10*0.9,$R$8*$D36*0.9))/$C36)+(R$17/$C36)+R$13</f>
        <v>48.872120721165061</v>
      </c>
      <c r="S36" s="125">
        <f t="shared" ref="S36:S67" si="12">((36*PMT(0.04/12,36,-$S$10*0.9,$S$8*$D36*0.9))/$C36)+(S$17/$C36)+S$13+AB36</f>
        <v>43.610729679171641</v>
      </c>
      <c r="T36" s="126">
        <f t="shared" ref="T36:T67" si="13">((36*PMT(0.04/12,36,-$T$10*0.9,$T$10*$D36*0.9))/$C36)+(T$17/$C36)+T$13</f>
        <v>51.960303807391185</v>
      </c>
      <c r="U36" s="125">
        <f t="shared" ref="U36:U67" si="14">((36*PMT(0.04/12,36,-$U$10*0.9,$U$10*$D36*0.9))/$C36)+(U$17/$C36)+U$13</f>
        <v>46.269058928534292</v>
      </c>
      <c r="V36" s="118">
        <f>C36/3</f>
        <v>1000</v>
      </c>
      <c r="W36" s="125">
        <f t="shared" ref="W36:X55" si="15">((36*PMT(0.04/12,36,-W$8*0.9,W$8*$D36*0.9))/$C36)+(W$17/$C36)+W$13</f>
        <v>51.942560855487486</v>
      </c>
      <c r="X36" s="125">
        <f t="shared" si="15"/>
        <v>56.902469312374436</v>
      </c>
      <c r="AB36" s="126">
        <f t="shared" ref="AB36:AB43" si="16">949*0.8*36/C36</f>
        <v>9.1104000000000003</v>
      </c>
      <c r="AD36" s="125">
        <f>(T36-$O36)*V36</f>
        <v>-12792.512765397745</v>
      </c>
    </row>
    <row r="37" spans="2:30" x14ac:dyDescent="0.35">
      <c r="C37" s="118">
        <v>3100</v>
      </c>
      <c r="D37" s="122">
        <f t="shared" si="5"/>
        <v>0.49500000000000005</v>
      </c>
      <c r="E37" s="122">
        <f t="shared" si="2"/>
        <v>0.39750000000000002</v>
      </c>
      <c r="F37" s="123" t="str">
        <f t="shared" si="3"/>
        <v/>
      </c>
      <c r="G37" s="123" t="str">
        <f t="shared" si="4"/>
        <v/>
      </c>
      <c r="H37" s="104">
        <f t="shared" si="6"/>
        <v>14400</v>
      </c>
      <c r="I37" s="104" t="str">
        <f t="shared" si="7"/>
        <v/>
      </c>
      <c r="J37" s="123"/>
      <c r="K37" s="123"/>
      <c r="L37" s="123"/>
      <c r="M37" s="123"/>
      <c r="N37" s="123"/>
      <c r="O37" s="125">
        <f t="shared" si="8"/>
        <v>63.330437575510793</v>
      </c>
      <c r="P37" s="125">
        <f t="shared" si="9"/>
        <v>50.452805348822267</v>
      </c>
      <c r="Q37" s="125">
        <f t="shared" si="10"/>
        <v>60.358819055847071</v>
      </c>
      <c r="R37" s="125">
        <f t="shared" si="11"/>
        <v>47.875065823762313</v>
      </c>
      <c r="S37" s="125">
        <f t="shared" si="12"/>
        <v>42.672534579491312</v>
      </c>
      <c r="T37" s="125">
        <f t="shared" si="13"/>
        <v>50.796351140772657</v>
      </c>
      <c r="U37" s="125">
        <f t="shared" si="14"/>
        <v>45.299812287716279</v>
      </c>
      <c r="V37" s="118"/>
      <c r="W37" s="125">
        <f t="shared" si="15"/>
        <v>50.779043674879688</v>
      </c>
      <c r="X37" s="125">
        <f t="shared" si="15"/>
        <v>55.619029037578869</v>
      </c>
      <c r="AB37" s="126">
        <f t="shared" si="16"/>
        <v>8.8165161290322587</v>
      </c>
      <c r="AD37" s="125">
        <f t="shared" ref="AD37:AD100" si="17">(T37-$O37)*V37</f>
        <v>0</v>
      </c>
    </row>
    <row r="38" spans="2:30" x14ac:dyDescent="0.35">
      <c r="C38" s="118">
        <v>3200</v>
      </c>
      <c r="D38" s="122">
        <f t="shared" si="5"/>
        <v>0.49000000000000005</v>
      </c>
      <c r="E38" s="122">
        <f t="shared" si="2"/>
        <v>0.39500000000000002</v>
      </c>
      <c r="F38" s="123" t="str">
        <f t="shared" si="3"/>
        <v/>
      </c>
      <c r="G38" s="123" t="str">
        <f t="shared" si="4"/>
        <v/>
      </c>
      <c r="H38" s="104">
        <f t="shared" si="6"/>
        <v>14400</v>
      </c>
      <c r="I38" s="104" t="str">
        <f t="shared" si="7"/>
        <v/>
      </c>
      <c r="J38" s="123"/>
      <c r="K38" s="123"/>
      <c r="L38" s="123"/>
      <c r="M38" s="123"/>
      <c r="N38" s="123"/>
      <c r="O38" s="125">
        <f t="shared" si="8"/>
        <v>61.996957265562557</v>
      </c>
      <c r="P38" s="125">
        <f t="shared" si="9"/>
        <v>49.421851726952056</v>
      </c>
      <c r="Q38" s="125">
        <f t="shared" si="10"/>
        <v>59.102909691559866</v>
      </c>
      <c r="R38" s="125">
        <f t="shared" si="11"/>
        <v>46.940326857447232</v>
      </c>
      <c r="S38" s="125">
        <f t="shared" si="12"/>
        <v>41.792976673541034</v>
      </c>
      <c r="T38" s="125">
        <f t="shared" si="13"/>
        <v>49.705145515817804</v>
      </c>
      <c r="U38" s="125">
        <f t="shared" si="14"/>
        <v>44.391143561949377</v>
      </c>
      <c r="V38" s="118"/>
      <c r="W38" s="125">
        <f t="shared" si="15"/>
        <v>49.688246318059896</v>
      </c>
      <c r="X38" s="125">
        <f t="shared" si="15"/>
        <v>54.41580377995804</v>
      </c>
      <c r="AB38" s="126">
        <f t="shared" si="16"/>
        <v>8.5410000000000004</v>
      </c>
      <c r="AD38" s="125">
        <f t="shared" si="17"/>
        <v>0</v>
      </c>
    </row>
    <row r="39" spans="2:30" x14ac:dyDescent="0.35">
      <c r="C39" s="118">
        <v>3300</v>
      </c>
      <c r="D39" s="122">
        <f t="shared" si="5"/>
        <v>0.48500000000000004</v>
      </c>
      <c r="E39" s="122">
        <f t="shared" si="2"/>
        <v>0.39250000000000002</v>
      </c>
      <c r="F39" s="123" t="str">
        <f t="shared" si="3"/>
        <v/>
      </c>
      <c r="G39" s="123" t="str">
        <f t="shared" si="4"/>
        <v/>
      </c>
      <c r="H39" s="104">
        <f t="shared" si="6"/>
        <v>14400</v>
      </c>
      <c r="I39" s="104" t="str">
        <f t="shared" si="7"/>
        <v/>
      </c>
      <c r="J39" s="123"/>
      <c r="K39" s="123"/>
      <c r="L39" s="123"/>
      <c r="M39" s="123"/>
      <c r="N39" s="123"/>
      <c r="O39" s="125">
        <f t="shared" si="8"/>
        <v>60.744293944096036</v>
      </c>
      <c r="P39" s="125">
        <f t="shared" si="9"/>
        <v>48.453380142770939</v>
      </c>
      <c r="Q39" s="125">
        <f t="shared" si="10"/>
        <v>57.923116046320374</v>
      </c>
      <c r="R39" s="125">
        <f t="shared" si="11"/>
        <v>46.062238737575505</v>
      </c>
      <c r="S39" s="125">
        <f t="shared" si="12"/>
        <v>40.9667253073453</v>
      </c>
      <c r="T39" s="125">
        <f t="shared" si="13"/>
        <v>48.680073565102646</v>
      </c>
      <c r="U39" s="125">
        <f t="shared" si="14"/>
        <v>43.537545668047144</v>
      </c>
      <c r="V39" s="118">
        <f>C39/3</f>
        <v>1100</v>
      </c>
      <c r="W39" s="125">
        <f t="shared" si="15"/>
        <v>48.663557891956458</v>
      </c>
      <c r="X39" s="125">
        <f t="shared" si="15"/>
        <v>53.285501265223317</v>
      </c>
      <c r="AB39" s="126">
        <f t="shared" si="16"/>
        <v>8.2821818181818188</v>
      </c>
      <c r="AD39" s="125">
        <f>(T39-$O39)*V39</f>
        <v>-13270.64241689273</v>
      </c>
    </row>
    <row r="40" spans="2:30" x14ac:dyDescent="0.35">
      <c r="C40" s="118">
        <v>3400</v>
      </c>
      <c r="D40" s="122">
        <f t="shared" si="5"/>
        <v>0.48000000000000004</v>
      </c>
      <c r="E40" s="122">
        <f t="shared" si="2"/>
        <v>0.39</v>
      </c>
      <c r="F40" s="123" t="str">
        <f t="shared" si="3"/>
        <v/>
      </c>
      <c r="G40" s="123" t="str">
        <f t="shared" si="4"/>
        <v/>
      </c>
      <c r="H40" s="104">
        <f t="shared" si="6"/>
        <v>14400</v>
      </c>
      <c r="I40" s="104" t="str">
        <f t="shared" si="7"/>
        <v/>
      </c>
      <c r="J40" s="123"/>
      <c r="K40" s="123"/>
      <c r="L40" s="123"/>
      <c r="M40" s="123"/>
      <c r="N40" s="123"/>
      <c r="O40" s="125">
        <f t="shared" si="8"/>
        <v>59.565316700362828</v>
      </c>
      <c r="P40" s="125">
        <f t="shared" si="9"/>
        <v>47.541877475306379</v>
      </c>
      <c r="Q40" s="125">
        <f t="shared" si="10"/>
        <v>56.812722027271434</v>
      </c>
      <c r="R40" s="125">
        <f t="shared" si="11"/>
        <v>45.235802860049169</v>
      </c>
      <c r="S40" s="125">
        <f t="shared" si="12"/>
        <v>40.189076962690493</v>
      </c>
      <c r="T40" s="125">
        <f t="shared" si="13"/>
        <v>47.715299964429533</v>
      </c>
      <c r="U40" s="125">
        <f t="shared" si="14"/>
        <v>42.73415941496269</v>
      </c>
      <c r="V40" s="118"/>
      <c r="W40" s="125">
        <f t="shared" si="15"/>
        <v>47.699145255623804</v>
      </c>
      <c r="X40" s="125">
        <f t="shared" si="15"/>
        <v>52.221687133708294</v>
      </c>
      <c r="AB40" s="126">
        <f t="shared" si="16"/>
        <v>8.0385882352941174</v>
      </c>
      <c r="AD40" s="125">
        <f t="shared" si="17"/>
        <v>0</v>
      </c>
    </row>
    <row r="41" spans="2:30" x14ac:dyDescent="0.35">
      <c r="C41" s="118">
        <v>3500</v>
      </c>
      <c r="D41" s="122">
        <f t="shared" si="5"/>
        <v>0.47500000000000003</v>
      </c>
      <c r="E41" s="122">
        <f t="shared" si="2"/>
        <v>0.38750000000000001</v>
      </c>
      <c r="F41" s="123" t="str">
        <f t="shared" si="3"/>
        <v/>
      </c>
      <c r="G41" s="123" t="str">
        <f t="shared" si="4"/>
        <v/>
      </c>
      <c r="H41" s="104">
        <f t="shared" si="6"/>
        <v>14400</v>
      </c>
      <c r="I41" s="104" t="str">
        <f t="shared" si="7"/>
        <v/>
      </c>
      <c r="J41" s="123"/>
      <c r="K41" s="123"/>
      <c r="L41" s="123"/>
      <c r="M41" s="123"/>
      <c r="N41" s="123"/>
      <c r="O41" s="125">
        <f t="shared" si="8"/>
        <v>58.45370958484294</v>
      </c>
      <c r="P41" s="125">
        <f t="shared" si="9"/>
        <v>46.682460674554079</v>
      </c>
      <c r="Q41" s="125">
        <f t="shared" si="10"/>
        <v>55.765779095025295</v>
      </c>
      <c r="R41" s="125">
        <f t="shared" si="11"/>
        <v>44.456591889810049</v>
      </c>
      <c r="S41" s="125">
        <f t="shared" si="12"/>
        <v>39.455865666301676</v>
      </c>
      <c r="T41" s="125">
        <f t="shared" si="13"/>
        <v>46.805656283794917</v>
      </c>
      <c r="U41" s="125">
        <f t="shared" si="14"/>
        <v>41.97668094776877</v>
      </c>
      <c r="V41" s="118"/>
      <c r="W41" s="125">
        <f t="shared" si="15"/>
        <v>46.789841912795879</v>
      </c>
      <c r="X41" s="125">
        <f t="shared" si="15"/>
        <v>51.218662381136973</v>
      </c>
      <c r="AB41" s="126">
        <f t="shared" si="16"/>
        <v>7.8089142857142857</v>
      </c>
      <c r="AD41" s="125">
        <f t="shared" si="17"/>
        <v>0</v>
      </c>
    </row>
    <row r="42" spans="2:30" x14ac:dyDescent="0.35">
      <c r="C42" s="118">
        <v>3600</v>
      </c>
      <c r="D42" s="122">
        <f t="shared" si="5"/>
        <v>0.47000000000000003</v>
      </c>
      <c r="E42" s="122">
        <f t="shared" si="2"/>
        <v>0.38500000000000001</v>
      </c>
      <c r="F42" s="123" t="str">
        <f t="shared" si="3"/>
        <v/>
      </c>
      <c r="G42" s="123" t="str">
        <f t="shared" si="4"/>
        <v/>
      </c>
      <c r="H42" s="104">
        <f t="shared" si="6"/>
        <v>14400</v>
      </c>
      <c r="I42" s="104" t="str">
        <f t="shared" si="7"/>
        <v/>
      </c>
      <c r="J42" s="123"/>
      <c r="K42" s="123"/>
      <c r="L42" s="123"/>
      <c r="M42" s="123"/>
      <c r="N42" s="123"/>
      <c r="O42" s="125">
        <f t="shared" si="8"/>
        <v>57.403858420185287</v>
      </c>
      <c r="P42" s="125">
        <f t="shared" si="9"/>
        <v>45.870789251621346</v>
      </c>
      <c r="Q42" s="125">
        <f t="shared" si="10"/>
        <v>54.776999659015047</v>
      </c>
      <c r="R42" s="125">
        <f t="shared" si="11"/>
        <v>43.720670417917532</v>
      </c>
      <c r="S42" s="125">
        <f t="shared" si="12"/>
        <v>38.763388330823346</v>
      </c>
      <c r="T42" s="125">
        <f t="shared" si="13"/>
        <v>45.946548363195546</v>
      </c>
      <c r="U42" s="125">
        <f t="shared" si="14"/>
        <v>41.261284617641181</v>
      </c>
      <c r="V42" s="118">
        <f>C42/3</f>
        <v>1200</v>
      </c>
      <c r="W42" s="125">
        <f t="shared" si="15"/>
        <v>45.931055422347271</v>
      </c>
      <c r="X42" s="125">
        <f t="shared" si="15"/>
        <v>50.271361225930747</v>
      </c>
      <c r="AB42" s="126">
        <f t="shared" si="16"/>
        <v>7.5920000000000005</v>
      </c>
      <c r="AD42" s="125">
        <f t="shared" si="17"/>
        <v>-13748.772068387689</v>
      </c>
    </row>
    <row r="43" spans="2:30" x14ac:dyDescent="0.35">
      <c r="C43" s="118">
        <v>3700</v>
      </c>
      <c r="D43" s="122">
        <f t="shared" si="5"/>
        <v>0.46500000000000002</v>
      </c>
      <c r="E43" s="122">
        <f t="shared" si="2"/>
        <v>0.38250000000000001</v>
      </c>
      <c r="F43" s="123" t="str">
        <f t="shared" si="3"/>
        <v/>
      </c>
      <c r="G43" s="123" t="str">
        <f t="shared" si="4"/>
        <v/>
      </c>
      <c r="H43" s="104">
        <f t="shared" si="6"/>
        <v>14400</v>
      </c>
      <c r="I43" s="104" t="str">
        <f t="shared" si="7"/>
        <v/>
      </c>
      <c r="J43" s="123"/>
      <c r="K43" s="123"/>
      <c r="L43" s="123"/>
      <c r="M43" s="123"/>
      <c r="N43" s="123"/>
      <c r="O43" s="125">
        <f t="shared" si="8"/>
        <v>56.410755967130747</v>
      </c>
      <c r="P43" s="125">
        <f t="shared" si="9"/>
        <v>45.102991959657942</v>
      </c>
      <c r="Q43" s="125">
        <f t="shared" si="10"/>
        <v>53.841667760086438</v>
      </c>
      <c r="R43" s="125">
        <f t="shared" si="11"/>
        <v>43.024528485046261</v>
      </c>
      <c r="S43" s="125">
        <f t="shared" si="12"/>
        <v>38.108342202668169</v>
      </c>
      <c r="T43" s="125">
        <f t="shared" si="13"/>
        <v>45.133878708574514</v>
      </c>
      <c r="U43" s="125">
        <f t="shared" si="14"/>
        <v>40.584558359412398</v>
      </c>
      <c r="V43" s="118"/>
      <c r="W43" s="125">
        <f t="shared" si="15"/>
        <v>45.118689823274266</v>
      </c>
      <c r="X43" s="125">
        <f t="shared" si="15"/>
        <v>49.375265538573487</v>
      </c>
      <c r="AB43" s="126">
        <f t="shared" si="16"/>
        <v>7.386810810810811</v>
      </c>
      <c r="AD43" s="125">
        <f t="shared" si="17"/>
        <v>0</v>
      </c>
    </row>
    <row r="44" spans="2:30" x14ac:dyDescent="0.35">
      <c r="C44" s="118">
        <v>3800</v>
      </c>
      <c r="D44" s="122">
        <f>+$D$45+B46</f>
        <v>0.46</v>
      </c>
      <c r="E44" s="122">
        <f t="shared" si="2"/>
        <v>0.38</v>
      </c>
      <c r="F44" s="123" t="str">
        <f t="shared" si="3"/>
        <v/>
      </c>
      <c r="G44" s="123" t="str">
        <f t="shared" si="4"/>
        <v/>
      </c>
      <c r="H44" s="104">
        <f t="shared" si="6"/>
        <v>14400</v>
      </c>
      <c r="I44" s="104" t="str">
        <f t="shared" si="7"/>
        <v/>
      </c>
      <c r="J44" s="123"/>
      <c r="K44" s="123"/>
      <c r="L44" s="123"/>
      <c r="M44" s="123"/>
      <c r="N44" s="123"/>
      <c r="O44" s="125">
        <f t="shared" si="8"/>
        <v>55.469922064236968</v>
      </c>
      <c r="P44" s="125">
        <f t="shared" si="9"/>
        <v>44.375605051482097</v>
      </c>
      <c r="Q44" s="125">
        <f t="shared" si="10"/>
        <v>52.955563855838278</v>
      </c>
      <c r="R44" s="125">
        <f t="shared" si="11"/>
        <v>42.365025601273466</v>
      </c>
      <c r="S44" s="125">
        <f t="shared" si="12"/>
        <v>38.245666923363274</v>
      </c>
      <c r="T44" s="125">
        <f t="shared" si="13"/>
        <v>44.363981141038792</v>
      </c>
      <c r="U44" s="125">
        <f t="shared" si="14"/>
        <v>39.943449272669326</v>
      </c>
      <c r="V44" s="118"/>
      <c r="W44" s="125">
        <f t="shared" si="15"/>
        <v>44.349080308363</v>
      </c>
      <c r="X44" s="125">
        <f t="shared" si="15"/>
        <v>48.526332782129771</v>
      </c>
      <c r="AB44" s="126">
        <f t="shared" ref="AB44:AB51" si="18">1049*0.8*36/C44</f>
        <v>7.9503157894736844</v>
      </c>
      <c r="AD44" s="125">
        <f t="shared" si="17"/>
        <v>0</v>
      </c>
    </row>
    <row r="45" spans="2:30" x14ac:dyDescent="0.35">
      <c r="C45" s="118">
        <v>3900</v>
      </c>
      <c r="D45" s="122">
        <f>$D$46+B46</f>
        <v>0.45500000000000002</v>
      </c>
      <c r="E45" s="122">
        <f t="shared" si="2"/>
        <v>0.3775</v>
      </c>
      <c r="F45" s="123" t="str">
        <f t="shared" si="3"/>
        <v/>
      </c>
      <c r="G45" s="123" t="str">
        <f t="shared" si="4"/>
        <v/>
      </c>
      <c r="H45" s="104">
        <f t="shared" si="6"/>
        <v>14400</v>
      </c>
      <c r="I45" s="104" t="str">
        <f t="shared" si="7"/>
        <v/>
      </c>
      <c r="J45" s="123"/>
      <c r="K45" s="123"/>
      <c r="L45" s="123"/>
      <c r="M45" s="123"/>
      <c r="N45" s="123"/>
      <c r="O45" s="125">
        <f t="shared" si="8"/>
        <v>54.577336053799279</v>
      </c>
      <c r="P45" s="125">
        <f t="shared" si="9"/>
        <v>43.685520036033196</v>
      </c>
      <c r="Q45" s="125">
        <f t="shared" si="10"/>
        <v>52.114901177449006</v>
      </c>
      <c r="R45" s="125">
        <f t="shared" si="11"/>
        <v>41.739343378206961</v>
      </c>
      <c r="S45" s="125">
        <f t="shared" si="12"/>
        <v>37.637487812227853</v>
      </c>
      <c r="T45" s="125">
        <f t="shared" si="13"/>
        <v>43.633565500043375</v>
      </c>
      <c r="U45" s="125">
        <f t="shared" si="14"/>
        <v>39.335217574989997</v>
      </c>
      <c r="V45" s="118">
        <f>C45/3</f>
        <v>1300</v>
      </c>
      <c r="W45" s="125">
        <f t="shared" si="15"/>
        <v>43.61893794806258</v>
      </c>
      <c r="X45" s="125">
        <f t="shared" si="15"/>
        <v>47.72093503883702</v>
      </c>
      <c r="AB45" s="126">
        <f t="shared" si="18"/>
        <v>7.7464615384615385</v>
      </c>
      <c r="AD45" s="125">
        <f t="shared" si="17"/>
        <v>-14226.901719882675</v>
      </c>
    </row>
    <row r="46" spans="2:30" x14ac:dyDescent="0.35">
      <c r="B46" s="99">
        <f>0.05/10</f>
        <v>5.0000000000000001E-3</v>
      </c>
      <c r="C46" s="118">
        <v>4000</v>
      </c>
      <c r="D46" s="122">
        <v>0.45</v>
      </c>
      <c r="E46" s="122">
        <f t="shared" si="2"/>
        <v>0.375</v>
      </c>
      <c r="F46" s="123" t="str">
        <f t="shared" si="3"/>
        <v/>
      </c>
      <c r="G46" s="123" t="str">
        <f t="shared" si="4"/>
        <v/>
      </c>
      <c r="H46" s="104">
        <f t="shared" si="6"/>
        <v>14400</v>
      </c>
      <c r="I46" s="104" t="str">
        <f t="shared" si="7"/>
        <v/>
      </c>
      <c r="J46" s="123"/>
      <c r="K46" s="123"/>
      <c r="L46" s="123"/>
      <c r="M46" s="123"/>
      <c r="N46" s="123"/>
      <c r="O46" s="125">
        <f t="shared" si="8"/>
        <v>53.729379343883465</v>
      </c>
      <c r="P46" s="125">
        <f t="shared" si="9"/>
        <v>43.029939271356767</v>
      </c>
      <c r="Q46" s="125">
        <f t="shared" si="10"/>
        <v>51.316271632979188</v>
      </c>
      <c r="R46" s="125">
        <f t="shared" si="11"/>
        <v>41.144945266293782</v>
      </c>
      <c r="S46" s="125">
        <f t="shared" si="12"/>
        <v>37.059717656649198</v>
      </c>
      <c r="T46" s="125">
        <f t="shared" si="13"/>
        <v>42.93967064109772</v>
      </c>
      <c r="U46" s="125">
        <f t="shared" si="14"/>
        <v>38.757397462194632</v>
      </c>
      <c r="V46" s="118"/>
      <c r="W46" s="125">
        <f t="shared" si="15"/>
        <v>42.92530270577717</v>
      </c>
      <c r="X46" s="125">
        <f t="shared" si="15"/>
        <v>46.955807182708902</v>
      </c>
      <c r="AB46" s="126">
        <f t="shared" si="18"/>
        <v>7.5528000000000004</v>
      </c>
      <c r="AD46" s="125">
        <f t="shared" si="17"/>
        <v>0</v>
      </c>
    </row>
    <row r="47" spans="2:30" x14ac:dyDescent="0.35">
      <c r="C47" s="118">
        <v>4100</v>
      </c>
      <c r="D47" s="122">
        <f t="shared" ref="D47:D64" si="19">D48+$B$66</f>
        <v>0.44750000000000006</v>
      </c>
      <c r="E47" s="122">
        <f t="shared" si="2"/>
        <v>0.3725</v>
      </c>
      <c r="F47" s="123" t="str">
        <f t="shared" si="3"/>
        <v/>
      </c>
      <c r="G47" s="123" t="str">
        <f t="shared" si="4"/>
        <v/>
      </c>
      <c r="H47" s="104">
        <f t="shared" si="6"/>
        <v>14400</v>
      </c>
      <c r="I47" s="104" t="str">
        <f t="shared" si="7"/>
        <v/>
      </c>
      <c r="J47" s="123"/>
      <c r="K47" s="123"/>
      <c r="L47" s="123"/>
      <c r="M47" s="123"/>
      <c r="N47" s="123"/>
      <c r="O47" s="125">
        <f t="shared" si="8"/>
        <v>52.695636770339568</v>
      </c>
      <c r="P47" s="125">
        <f t="shared" si="9"/>
        <v>42.217529648262399</v>
      </c>
      <c r="Q47" s="125">
        <f t="shared" si="10"/>
        <v>50.339281098012087</v>
      </c>
      <c r="R47" s="125">
        <f t="shared" si="11"/>
        <v>40.389129758599772</v>
      </c>
      <c r="S47" s="125">
        <f t="shared" si="12"/>
        <v>36.361630416109975</v>
      </c>
      <c r="T47" s="125">
        <f t="shared" si="13"/>
        <v>42.17613929792725</v>
      </c>
      <c r="U47" s="125">
        <f t="shared" si="14"/>
        <v>38.093981923549435</v>
      </c>
      <c r="V47" s="118"/>
      <c r="W47" s="125">
        <f t="shared" si="15"/>
        <v>42.162070057546572</v>
      </c>
      <c r="X47" s="125">
        <f t="shared" si="15"/>
        <v>46.112151163541753</v>
      </c>
      <c r="AB47" s="126">
        <f t="shared" si="18"/>
        <v>7.3685853658536589</v>
      </c>
      <c r="AD47" s="125">
        <f t="shared" si="17"/>
        <v>0</v>
      </c>
    </row>
    <row r="48" spans="2:30" x14ac:dyDescent="0.35">
      <c r="C48" s="118">
        <v>4200</v>
      </c>
      <c r="D48" s="122">
        <f t="shared" si="19"/>
        <v>0.44500000000000006</v>
      </c>
      <c r="E48" s="122">
        <f t="shared" si="2"/>
        <v>0.37</v>
      </c>
      <c r="F48" s="123" t="str">
        <f t="shared" si="3"/>
        <v/>
      </c>
      <c r="G48" s="123" t="str">
        <f t="shared" si="4"/>
        <v/>
      </c>
      <c r="H48" s="104">
        <f t="shared" si="6"/>
        <v>14400</v>
      </c>
      <c r="I48" s="104" t="str">
        <f t="shared" si="7"/>
        <v/>
      </c>
      <c r="J48" s="123"/>
      <c r="K48" s="123"/>
      <c r="L48" s="123"/>
      <c r="M48" s="123"/>
      <c r="N48" s="123"/>
      <c r="O48" s="125">
        <f t="shared" si="8"/>
        <v>51.71112003363109</v>
      </c>
      <c r="P48" s="125">
        <f t="shared" si="9"/>
        <v>41.443806197696333</v>
      </c>
      <c r="Q48" s="125">
        <f t="shared" si="10"/>
        <v>49.408813921852953</v>
      </c>
      <c r="R48" s="125">
        <f t="shared" si="11"/>
        <v>39.669305465557883</v>
      </c>
      <c r="S48" s="125">
        <f t="shared" si="12"/>
        <v>35.696785425120233</v>
      </c>
      <c r="T48" s="125">
        <f t="shared" si="13"/>
        <v>41.448966590145858</v>
      </c>
      <c r="U48" s="125">
        <f t="shared" si="14"/>
        <v>37.462157601030214</v>
      </c>
      <c r="V48" s="118">
        <f>C48/3</f>
        <v>1400</v>
      </c>
      <c r="W48" s="125">
        <f t="shared" si="15"/>
        <v>41.43518182113651</v>
      </c>
      <c r="X48" s="125">
        <f t="shared" si="15"/>
        <v>45.308669240525433</v>
      </c>
      <c r="AB48" s="126">
        <f t="shared" si="18"/>
        <v>7.1931428571428571</v>
      </c>
      <c r="AD48" s="125">
        <f t="shared" si="17"/>
        <v>-14367.014820879325</v>
      </c>
    </row>
    <row r="49" spans="3:30" x14ac:dyDescent="0.35">
      <c r="C49" s="118">
        <v>4300</v>
      </c>
      <c r="D49" s="122">
        <f t="shared" si="19"/>
        <v>0.44250000000000006</v>
      </c>
      <c r="E49" s="122">
        <f t="shared" si="2"/>
        <v>0.36749999999999999</v>
      </c>
      <c r="F49" s="123" t="str">
        <f t="shared" si="3"/>
        <v/>
      </c>
      <c r="G49" s="123" t="str">
        <f t="shared" si="4"/>
        <v/>
      </c>
      <c r="H49" s="104">
        <f t="shared" si="6"/>
        <v>14400</v>
      </c>
      <c r="I49" s="104" t="str">
        <f t="shared" si="7"/>
        <v/>
      </c>
      <c r="J49" s="123"/>
      <c r="K49" s="123"/>
      <c r="L49" s="123"/>
      <c r="M49" s="123"/>
      <c r="N49" s="123"/>
      <c r="O49" s="125">
        <f t="shared" si="8"/>
        <v>50.772394773048589</v>
      </c>
      <c r="P49" s="125">
        <f t="shared" si="9"/>
        <v>40.706069884365917</v>
      </c>
      <c r="Q49" s="125">
        <f t="shared" si="10"/>
        <v>48.521624288770973</v>
      </c>
      <c r="R49" s="125">
        <f t="shared" si="11"/>
        <v>38.982961372192349</v>
      </c>
      <c r="S49" s="125">
        <f t="shared" si="12"/>
        <v>35.062863456967229</v>
      </c>
      <c r="T49" s="125">
        <f t="shared" si="13"/>
        <v>40.755615868772892</v>
      </c>
      <c r="U49" s="125">
        <f t="shared" si="14"/>
        <v>36.859720456302568</v>
      </c>
      <c r="V49" s="118"/>
      <c r="W49" s="125">
        <f t="shared" si="15"/>
        <v>40.742102339908286</v>
      </c>
      <c r="X49" s="125">
        <f t="shared" si="15"/>
        <v>44.542558569742425</v>
      </c>
      <c r="AB49" s="126">
        <f t="shared" si="18"/>
        <v>7.0258604651162795</v>
      </c>
      <c r="AD49" s="125">
        <f t="shared" si="17"/>
        <v>0</v>
      </c>
    </row>
    <row r="50" spans="3:30" x14ac:dyDescent="0.35">
      <c r="C50" s="118">
        <v>4400</v>
      </c>
      <c r="D50" s="122">
        <f t="shared" si="19"/>
        <v>0.44000000000000006</v>
      </c>
      <c r="E50" s="122">
        <f t="shared" si="2"/>
        <v>0.36499999999999999</v>
      </c>
      <c r="F50" s="123" t="str">
        <f t="shared" si="3"/>
        <v/>
      </c>
      <c r="G50" s="123" t="str">
        <f t="shared" si="4"/>
        <v/>
      </c>
      <c r="H50" s="104">
        <f t="shared" si="6"/>
        <v>14400</v>
      </c>
      <c r="I50" s="104" t="str">
        <f t="shared" si="7"/>
        <v/>
      </c>
      <c r="J50" s="123"/>
      <c r="K50" s="123"/>
      <c r="L50" s="123"/>
      <c r="M50" s="123"/>
      <c r="N50" s="123"/>
      <c r="O50" s="125">
        <f t="shared" si="8"/>
        <v>49.876338842492565</v>
      </c>
      <c r="P50" s="125">
        <f t="shared" si="9"/>
        <v>40.001867039823225</v>
      </c>
      <c r="Q50" s="125">
        <f t="shared" si="10"/>
        <v>47.674761457192737</v>
      </c>
      <c r="R50" s="125">
        <f t="shared" si="11"/>
        <v>38.327814737616151</v>
      </c>
      <c r="S50" s="125">
        <f t="shared" si="12"/>
        <v>34.457756123730263</v>
      </c>
      <c r="T50" s="125">
        <f t="shared" si="13"/>
        <v>40.09378108928054</v>
      </c>
      <c r="U50" s="125">
        <f t="shared" si="14"/>
        <v>36.284666818153454</v>
      </c>
      <c r="V50" s="118"/>
      <c r="W50" s="125">
        <f t="shared" si="15"/>
        <v>40.080526471463159</v>
      </c>
      <c r="X50" s="125">
        <f t="shared" si="15"/>
        <v>43.811271111267736</v>
      </c>
      <c r="AB50" s="126">
        <f t="shared" si="18"/>
        <v>6.8661818181818184</v>
      </c>
      <c r="AD50" s="125">
        <f t="shared" si="17"/>
        <v>0</v>
      </c>
    </row>
    <row r="51" spans="3:30" x14ac:dyDescent="0.35">
      <c r="C51" s="118">
        <v>4500</v>
      </c>
      <c r="D51" s="122">
        <f t="shared" si="19"/>
        <v>0.43750000000000006</v>
      </c>
      <c r="E51" s="122">
        <f t="shared" si="2"/>
        <v>0.36249999999999999</v>
      </c>
      <c r="F51" s="123">
        <f t="shared" si="3"/>
        <v>0.43750000000000006</v>
      </c>
      <c r="G51" s="123" t="str">
        <f t="shared" si="4"/>
        <v/>
      </c>
      <c r="H51" s="104">
        <f t="shared" si="6"/>
        <v>14400</v>
      </c>
      <c r="I51" s="104" t="str">
        <f t="shared" si="7"/>
        <v/>
      </c>
      <c r="J51" s="123"/>
      <c r="K51" s="123"/>
      <c r="L51" s="123"/>
      <c r="M51" s="123"/>
      <c r="N51" s="123"/>
      <c r="O51" s="125">
        <f t="shared" si="8"/>
        <v>49.020107619961252</v>
      </c>
      <c r="P51" s="125">
        <f t="shared" si="9"/>
        <v>39.328962099482425</v>
      </c>
      <c r="Q51" s="125">
        <f t="shared" si="10"/>
        <v>46.865536973684641</v>
      </c>
      <c r="R51" s="125">
        <f t="shared" si="11"/>
        <v>37.701785731243355</v>
      </c>
      <c r="S51" s="125">
        <f t="shared" si="12"/>
        <v>33.879542449748278</v>
      </c>
      <c r="T51" s="125">
        <f t="shared" si="13"/>
        <v>39.461361188876708</v>
      </c>
      <c r="U51" s="125">
        <f t="shared" si="14"/>
        <v>35.735171119477641</v>
      </c>
      <c r="V51" s="118">
        <f>C51/3</f>
        <v>1500</v>
      </c>
      <c r="W51" s="125">
        <f t="shared" si="15"/>
        <v>39.448353974948944</v>
      </c>
      <c r="X51" s="125">
        <f t="shared" si="15"/>
        <v>43.112485317614151</v>
      </c>
      <c r="AB51" s="126">
        <f t="shared" si="18"/>
        <v>6.7136000000000005</v>
      </c>
      <c r="AD51" s="125">
        <f t="shared" si="17"/>
        <v>-14338.119646626816</v>
      </c>
    </row>
    <row r="52" spans="3:30" x14ac:dyDescent="0.35">
      <c r="C52" s="118">
        <v>4600</v>
      </c>
      <c r="D52" s="122">
        <f t="shared" si="19"/>
        <v>0.43500000000000005</v>
      </c>
      <c r="E52" s="122">
        <f t="shared" si="2"/>
        <v>0.36</v>
      </c>
      <c r="F52" s="123" t="str">
        <f t="shared" si="3"/>
        <v/>
      </c>
      <c r="G52" s="123" t="str">
        <f t="shared" si="4"/>
        <v/>
      </c>
      <c r="H52" s="104">
        <f t="shared" si="6"/>
        <v>14400</v>
      </c>
      <c r="I52" s="104" t="str">
        <f t="shared" si="7"/>
        <v/>
      </c>
      <c r="J52" s="123"/>
      <c r="K52" s="123"/>
      <c r="L52" s="123"/>
      <c r="M52" s="123"/>
      <c r="N52" s="123"/>
      <c r="O52" s="125">
        <f t="shared" si="8"/>
        <v>48.201103841887829</v>
      </c>
      <c r="P52" s="125">
        <f t="shared" si="9"/>
        <v>38.685313895678206</v>
      </c>
      <c r="Q52" s="125">
        <f t="shared" si="10"/>
        <v>46.09149616337254</v>
      </c>
      <c r="R52" s="125">
        <f t="shared" si="11"/>
        <v>37.102975377321542</v>
      </c>
      <c r="S52" s="125">
        <f t="shared" si="12"/>
        <v>33.952555457243783</v>
      </c>
      <c r="T52" s="125">
        <f t="shared" si="13"/>
        <v>38.856437805881754</v>
      </c>
      <c r="U52" s="125">
        <f t="shared" si="14"/>
        <v>35.209566538135562</v>
      </c>
      <c r="V52" s="118"/>
      <c r="W52" s="125">
        <f t="shared" si="15"/>
        <v>38.843667239152722</v>
      </c>
      <c r="X52" s="125">
        <f t="shared" si="15"/>
        <v>42.444081514988973</v>
      </c>
      <c r="AB52" s="126">
        <f t="shared" ref="AB52:AB58" si="20">1149*0.8*36/C52</f>
        <v>7.1937391304347837</v>
      </c>
      <c r="AD52" s="125">
        <f t="shared" si="17"/>
        <v>0</v>
      </c>
    </row>
    <row r="53" spans="3:30" x14ac:dyDescent="0.35">
      <c r="C53" s="118">
        <v>4700</v>
      </c>
      <c r="D53" s="122">
        <f t="shared" si="19"/>
        <v>0.43250000000000005</v>
      </c>
      <c r="E53" s="122">
        <f t="shared" si="2"/>
        <v>0.35749999999999998</v>
      </c>
      <c r="F53" s="123" t="str">
        <f t="shared" si="3"/>
        <v/>
      </c>
      <c r="G53" s="123" t="str">
        <f t="shared" si="4"/>
        <v/>
      </c>
      <c r="H53" s="104">
        <f t="shared" si="6"/>
        <v>14400</v>
      </c>
      <c r="I53" s="104" t="str">
        <f t="shared" si="7"/>
        <v/>
      </c>
      <c r="J53" s="123"/>
      <c r="K53" s="123"/>
      <c r="L53" s="123"/>
      <c r="M53" s="123"/>
      <c r="N53" s="123"/>
      <c r="O53" s="125">
        <f t="shared" si="8"/>
        <v>47.416951288413259</v>
      </c>
      <c r="P53" s="125">
        <f t="shared" si="9"/>
        <v>38.06905497714223</v>
      </c>
      <c r="Q53" s="125">
        <f t="shared" si="10"/>
        <v>45.350393259882225</v>
      </c>
      <c r="R53" s="125">
        <f t="shared" si="11"/>
        <v>36.529646315055977</v>
      </c>
      <c r="S53" s="125">
        <f t="shared" si="12"/>
        <v>33.409695570803294</v>
      </c>
      <c r="T53" s="125">
        <f t="shared" si="13"/>
        <v>38.277255843439775</v>
      </c>
      <c r="U53" s="125">
        <f t="shared" si="14"/>
        <v>34.706328109191006</v>
      </c>
      <c r="V53" s="118"/>
      <c r="W53" s="125">
        <f t="shared" si="15"/>
        <v>38.264711853815925</v>
      </c>
      <c r="X53" s="125">
        <f t="shared" si="15"/>
        <v>41.804120427369128</v>
      </c>
      <c r="AB53" s="126">
        <f t="shared" si="20"/>
        <v>7.040680851063831</v>
      </c>
      <c r="AD53" s="125">
        <f t="shared" si="17"/>
        <v>0</v>
      </c>
    </row>
    <row r="54" spans="3:30" x14ac:dyDescent="0.35">
      <c r="C54" s="118">
        <v>4800</v>
      </c>
      <c r="D54" s="122">
        <f t="shared" si="19"/>
        <v>0.43000000000000005</v>
      </c>
      <c r="E54" s="122">
        <f>E55+$B$66</f>
        <v>0.35499999999999998</v>
      </c>
      <c r="F54" s="123" t="str">
        <f t="shared" si="3"/>
        <v/>
      </c>
      <c r="G54" s="123" t="str">
        <f t="shared" si="4"/>
        <v/>
      </c>
      <c r="H54" s="104">
        <f t="shared" si="6"/>
        <v>14400</v>
      </c>
      <c r="I54" s="104" t="str">
        <f t="shared" si="7"/>
        <v/>
      </c>
      <c r="J54" s="123"/>
      <c r="K54" s="123"/>
      <c r="L54" s="123"/>
      <c r="M54" s="123"/>
      <c r="N54" s="123"/>
      <c r="O54" s="125">
        <f t="shared" si="8"/>
        <v>46.665471758000145</v>
      </c>
      <c r="P54" s="125">
        <f t="shared" si="9"/>
        <v>37.478473513545268</v>
      </c>
      <c r="Q54" s="125">
        <f t="shared" si="10"/>
        <v>44.640169644037357</v>
      </c>
      <c r="R54" s="125">
        <f t="shared" si="11"/>
        <v>35.980205963718142</v>
      </c>
      <c r="S54" s="125">
        <f t="shared" si="12"/>
        <v>32.889454846297824</v>
      </c>
      <c r="T54" s="125">
        <f t="shared" si="13"/>
        <v>37.722206462766209</v>
      </c>
      <c r="U54" s="125">
        <f t="shared" si="14"/>
        <v>34.224057948119146</v>
      </c>
      <c r="V54" s="118">
        <f>C54/3</f>
        <v>1600</v>
      </c>
      <c r="W54" s="125">
        <f t="shared" si="15"/>
        <v>37.709879609534823</v>
      </c>
      <c r="X54" s="125">
        <f t="shared" si="15"/>
        <v>41.190824385066776</v>
      </c>
      <c r="AB54" s="126">
        <f t="shared" si="20"/>
        <v>6.894000000000001</v>
      </c>
      <c r="AD54" s="125">
        <f t="shared" si="17"/>
        <v>-14309.224472374297</v>
      </c>
    </row>
    <row r="55" spans="3:30" x14ac:dyDescent="0.35">
      <c r="C55" s="118">
        <v>4900</v>
      </c>
      <c r="D55" s="122">
        <f>D56+$B$66</f>
        <v>0.42750000000000005</v>
      </c>
      <c r="E55" s="122">
        <f>E56+$B$66</f>
        <v>0.35249999999999998</v>
      </c>
      <c r="F55" s="123" t="str">
        <f t="shared" si="3"/>
        <v/>
      </c>
      <c r="G55" s="123" t="str">
        <f t="shared" si="4"/>
        <v/>
      </c>
      <c r="H55" s="104">
        <f t="shared" si="6"/>
        <v>14400</v>
      </c>
      <c r="I55" s="104" t="str">
        <f t="shared" si="7"/>
        <v/>
      </c>
      <c r="J55" s="123"/>
      <c r="K55" s="123"/>
      <c r="L55" s="123"/>
      <c r="M55" s="123"/>
      <c r="N55" s="123"/>
      <c r="O55" s="125">
        <f t="shared" si="8"/>
        <v>45.944664861481442</v>
      </c>
      <c r="P55" s="125">
        <f t="shared" si="9"/>
        <v>36.911997415809395</v>
      </c>
      <c r="Q55" s="125">
        <f t="shared" si="10"/>
        <v>43.958934747206555</v>
      </c>
      <c r="R55" s="125">
        <f t="shared" si="11"/>
        <v>35.453191749169605</v>
      </c>
      <c r="S55" s="125">
        <f t="shared" si="12"/>
        <v>32.390448437078298</v>
      </c>
      <c r="T55" s="125">
        <f t="shared" si="13"/>
        <v>37.189812158854835</v>
      </c>
      <c r="U55" s="125">
        <f t="shared" si="14"/>
        <v>33.761472283417568</v>
      </c>
      <c r="V55" s="118"/>
      <c r="W55" s="125">
        <f t="shared" si="15"/>
        <v>37.177693579306016</v>
      </c>
      <c r="X55" s="125">
        <f t="shared" si="15"/>
        <v>40.602560834286962</v>
      </c>
      <c r="AB55" s="126">
        <f t="shared" si="20"/>
        <v>6.7533061224489801</v>
      </c>
      <c r="AD55" s="125">
        <f t="shared" si="17"/>
        <v>0</v>
      </c>
    </row>
    <row r="56" spans="3:30" x14ac:dyDescent="0.35">
      <c r="C56" s="118">
        <v>5000</v>
      </c>
      <c r="D56" s="122">
        <f>D57+$B$66</f>
        <v>0.42500000000000004</v>
      </c>
      <c r="E56" s="122">
        <f>0.35</f>
        <v>0.35</v>
      </c>
      <c r="F56" s="123" t="str">
        <f t="shared" si="3"/>
        <v/>
      </c>
      <c r="G56" s="123" t="str">
        <f t="shared" si="4"/>
        <v/>
      </c>
      <c r="H56" s="104">
        <f t="shared" si="6"/>
        <v>14400</v>
      </c>
      <c r="I56" s="104" t="str">
        <f t="shared" si="7"/>
        <v/>
      </c>
      <c r="J56" s="123"/>
      <c r="K56" s="123"/>
      <c r="L56" s="123"/>
      <c r="M56" s="123"/>
      <c r="N56" s="123"/>
      <c r="O56" s="125">
        <f>((36*PMT(0.04/12,36,-$O$10*0.9,$O$8*$D56*0.9))/$C56)+(O$17/$C56)+O$13</f>
        <v>45.252690240823476</v>
      </c>
      <c r="P56" s="125">
        <f>((36*PMT(0.04/12,36,-$P$10*0.9,$P$8*$D56*0.9))/$C56)+(P$17/$C56)+P$13</f>
        <v>36.368180361982951</v>
      </c>
      <c r="Q56" s="125">
        <f>((36*PMT(0.04/12,36,-$Q$10*0.9,$Q$8*$D56*0.9))/$C56)+(Q$17/$C56)+Q$13</f>
        <v>43.304949246248981</v>
      </c>
      <c r="R56" s="125">
        <f>((36*PMT(0.04/12,36,-$R$10*0.9,$R$8*$D56*0.9))/$C56)+(R$17/$C56)+R$13</f>
        <v>34.947258103203012</v>
      </c>
      <c r="S56" s="125">
        <f>((36*PMT(0.04/12,36,-$S$10*0.9,$S$8*$D56*0.9))/$C56)+(S$17/$C56)+S$13+AB56</f>
        <v>31.911402284227549</v>
      </c>
      <c r="T56" s="125">
        <f>((36*PMT(0.04/12,36,-$T$10*0.9,$T$10*$D56*0.9))/$C56)+(T$17/$C56)+T$13</f>
        <v>36.67871362709991</v>
      </c>
      <c r="U56" s="125">
        <f>((36*PMT(0.04/12,36,-$U$10*0.9,$U$10*$D56*0.9))/$C56)+(U$17/$C56)+U$13</f>
        <v>33.317390045304052</v>
      </c>
      <c r="V56" s="118"/>
      <c r="W56" s="125">
        <f>((36*PMT(0.04/12,36,-W$8*0.9,W$8*$D56*0.9))/$C56)+(W$17/$C56)+W$13</f>
        <v>36.666794990286363</v>
      </c>
      <c r="X56" s="125">
        <f>((36*PMT(0.04/12,36,-X$8*0.9,X$8*$D56*0.9))/$C56)+(X$17/$C56)+X$13</f>
        <v>40.037827825538351</v>
      </c>
      <c r="AB56" s="126">
        <f t="shared" si="20"/>
        <v>6.618240000000001</v>
      </c>
      <c r="AD56" s="125">
        <f t="shared" si="17"/>
        <v>0</v>
      </c>
    </row>
    <row r="57" spans="3:30" x14ac:dyDescent="0.35">
      <c r="C57" s="118">
        <v>5100</v>
      </c>
      <c r="D57" s="122">
        <f>D58+$B$66</f>
        <v>0.42250000000000004</v>
      </c>
      <c r="E57" s="122">
        <f>E56-0.002</f>
        <v>0.34799999999999998</v>
      </c>
      <c r="F57" s="123" t="str">
        <f t="shared" si="3"/>
        <v/>
      </c>
      <c r="G57" s="123" t="str">
        <f t="shared" si="4"/>
        <v/>
      </c>
      <c r="H57" s="104">
        <f t="shared" si="6"/>
        <v>14400</v>
      </c>
      <c r="I57" s="104" t="str">
        <f t="shared" si="7"/>
        <v/>
      </c>
      <c r="K57" s="104"/>
      <c r="L57" s="104"/>
      <c r="M57" s="104"/>
      <c r="N57" s="104"/>
      <c r="O57" s="125">
        <f>((36*PMT(0.04/12,36,-$O$10*0.9,$O$8*$D57*0.9))/$C57)+(O$17/$C57)+O$13</f>
        <v>44.587851879799167</v>
      </c>
      <c r="P57" s="125">
        <f>((36*PMT(0.04/12,36,-$P$10*0.9,$P$8*$D57*0.9))/$C57)+(P$17/$C57)+P$13</f>
        <v>35.845689467130114</v>
      </c>
      <c r="Q57" s="125">
        <f>((36*PMT(0.04/12,36,-$Q$10*0.9,$Q$8*$D57*0.9))/$C57)+(Q$17/$C57)+Q$13</f>
        <v>42.676610235525054</v>
      </c>
      <c r="R57" s="125">
        <f>((36*PMT(0.04/12,36,-$R$10*0.9,$R$8*$D57*0.9))/$C57)+(R$17/$C57)+R$13</f>
        <v>34.461164992372368</v>
      </c>
      <c r="S57" s="125">
        <f>((36*PMT(0.04/12,36,-$S$10*0.9,$S$8*$D57*0.9))/$C57)+(S$17/$C57)+S$13+AB57</f>
        <v>31.451142255018006</v>
      </c>
      <c r="T57" s="125">
        <f>((36*PMT(0.04/12,36,-$T$10*0.9,$T$10*$D57*0.9))/$C57)+(T$17/$C57)+T$13</f>
        <v>36.187658175021646</v>
      </c>
      <c r="U57" s="125">
        <f>((36*PMT(0.04/12,36,-$U$10*0.9,$U$10*$D57*0.9))/$C57)+(U$17/$C57)+U$13</f>
        <v>32.890722796920471</v>
      </c>
      <c r="V57" s="118">
        <f>C57/3</f>
        <v>1700</v>
      </c>
      <c r="W57" s="125">
        <f>((36*PMT(0.04/12,36,-W$8*0.9,W$8*$D57*0.9))/$C57)+(W$17/$C57)+W$13</f>
        <v>36.175931640051786</v>
      </c>
      <c r="X57" s="125">
        <f>((36*PMT(0.04/12,36,-X$8*0.9,X$8*$D57*0.9))/$C57)+(X$17/$C57)+X$13</f>
        <v>39.495241209289674</v>
      </c>
      <c r="AB57" s="126">
        <f t="shared" si="20"/>
        <v>6.4884705882352947</v>
      </c>
      <c r="AD57" s="125">
        <f t="shared" si="17"/>
        <v>-14280.329298121787</v>
      </c>
    </row>
    <row r="58" spans="3:30" x14ac:dyDescent="0.35">
      <c r="C58" s="118">
        <v>5200</v>
      </c>
      <c r="D58" s="122">
        <f t="shared" si="19"/>
        <v>0.42000000000000004</v>
      </c>
      <c r="E58" s="122">
        <f>E57-0.002</f>
        <v>0.34599999999999997</v>
      </c>
      <c r="F58" s="123" t="str">
        <f t="shared" si="3"/>
        <v/>
      </c>
      <c r="G58" s="123" t="str">
        <f t="shared" si="4"/>
        <v/>
      </c>
      <c r="H58" s="104">
        <f t="shared" si="6"/>
        <v>14400</v>
      </c>
      <c r="I58" s="104" t="str">
        <f t="shared" si="7"/>
        <v/>
      </c>
      <c r="K58" s="104"/>
      <c r="L58" s="104"/>
      <c r="M58" s="104"/>
      <c r="N58" s="104"/>
      <c r="O58" s="125">
        <f t="shared" si="8"/>
        <v>43.948584224968094</v>
      </c>
      <c r="P58" s="125">
        <f t="shared" si="9"/>
        <v>35.343294375925453</v>
      </c>
      <c r="Q58" s="125">
        <f t="shared" si="10"/>
        <v>42.072438109828965</v>
      </c>
      <c r="R58" s="125">
        <f t="shared" si="11"/>
        <v>33.993767770419815</v>
      </c>
      <c r="S58" s="125">
        <f t="shared" si="12"/>
        <v>31.008584534624216</v>
      </c>
      <c r="T58" s="125">
        <f t="shared" si="13"/>
        <v>35.715489471100241</v>
      </c>
      <c r="U58" s="125">
        <f t="shared" si="14"/>
        <v>32.480465827320884</v>
      </c>
      <c r="V58" s="118"/>
      <c r="W58" s="125">
        <f t="shared" ref="W58:X75" si="21">((36*PMT(0.04/12,36,-W$8*0.9,W$8*$D58*0.9))/$C58)+(W$17/$C58)+W$13</f>
        <v>35.703947649441616</v>
      </c>
      <c r="X58" s="125">
        <f t="shared" si="21"/>
        <v>38.973523309050577</v>
      </c>
      <c r="AB58" s="126">
        <f t="shared" si="20"/>
        <v>6.3636923076923084</v>
      </c>
      <c r="AD58" s="125">
        <f t="shared" si="17"/>
        <v>0</v>
      </c>
    </row>
    <row r="59" spans="3:30" x14ac:dyDescent="0.35">
      <c r="C59" s="118">
        <v>5300</v>
      </c>
      <c r="D59" s="122">
        <f t="shared" si="19"/>
        <v>0.41750000000000004</v>
      </c>
      <c r="E59" s="122">
        <f t="shared" ref="E59:E105" si="22">E58-0.002</f>
        <v>0.34399999999999997</v>
      </c>
      <c r="F59" s="123" t="str">
        <f t="shared" si="3"/>
        <v/>
      </c>
      <c r="G59" s="123" t="str">
        <f t="shared" si="4"/>
        <v/>
      </c>
      <c r="H59" s="104">
        <f t="shared" si="6"/>
        <v>14400</v>
      </c>
      <c r="I59" s="104" t="str">
        <f t="shared" si="7"/>
        <v/>
      </c>
      <c r="K59" s="104"/>
      <c r="L59" s="104"/>
      <c r="M59" s="104"/>
      <c r="N59" s="104"/>
      <c r="O59" s="125">
        <f t="shared" si="8"/>
        <v>43.333439877866503</v>
      </c>
      <c r="P59" s="125">
        <f t="shared" si="9"/>
        <v>34.859857590049273</v>
      </c>
      <c r="Q59" s="125">
        <f t="shared" si="10"/>
        <v>41.491064932272337</v>
      </c>
      <c r="R59" s="125">
        <f t="shared" si="11"/>
        <v>33.544008179484351</v>
      </c>
      <c r="S59" s="125">
        <f t="shared" si="12"/>
        <v>35.926123331981138</v>
      </c>
      <c r="T59" s="125">
        <f t="shared" si="13"/>
        <v>35.261138454119276</v>
      </c>
      <c r="U59" s="125">
        <f t="shared" si="14"/>
        <v>32.085690252800518</v>
      </c>
      <c r="V59" s="118"/>
      <c r="W59" s="125">
        <f t="shared" si="21"/>
        <v>35.249774375458252</v>
      </c>
      <c r="X59" s="125">
        <f t="shared" si="21"/>
        <v>38.471492876745017</v>
      </c>
      <c r="AB59" s="126">
        <f t="shared" ref="AB59:AB90" si="23">1249*0.8*36/C59+4.8</f>
        <v>11.587018867924529</v>
      </c>
      <c r="AC59" s="127"/>
      <c r="AD59" s="125">
        <f t="shared" si="17"/>
        <v>0</v>
      </c>
    </row>
    <row r="60" spans="3:30" x14ac:dyDescent="0.35">
      <c r="C60" s="118">
        <v>5400</v>
      </c>
      <c r="D60" s="122">
        <f t="shared" si="19"/>
        <v>0.41500000000000004</v>
      </c>
      <c r="E60" s="122">
        <f t="shared" si="22"/>
        <v>0.34199999999999997</v>
      </c>
      <c r="F60" s="123" t="str">
        <f t="shared" si="3"/>
        <v/>
      </c>
      <c r="G60" s="123" t="str">
        <f t="shared" si="4"/>
        <v/>
      </c>
      <c r="H60" s="104">
        <f t="shared" si="6"/>
        <v>14400</v>
      </c>
      <c r="I60" s="104" t="str">
        <f t="shared" si="7"/>
        <v/>
      </c>
      <c r="K60" s="104"/>
      <c r="L60" s="104"/>
      <c r="M60" s="104"/>
      <c r="N60" s="104"/>
      <c r="O60" s="125">
        <f t="shared" si="8"/>
        <v>42.741078654731638</v>
      </c>
      <c r="P60" s="125">
        <f t="shared" si="9"/>
        <v>34.394325870316663</v>
      </c>
      <c r="Q60" s="125">
        <f t="shared" si="10"/>
        <v>40.931224094625236</v>
      </c>
      <c r="R60" s="125">
        <f t="shared" si="11"/>
        <v>33.110906351176126</v>
      </c>
      <c r="S60" s="125">
        <f t="shared" si="12"/>
        <v>35.505975507213734</v>
      </c>
      <c r="T60" s="125">
        <f t="shared" si="13"/>
        <v>34.823615252582044</v>
      </c>
      <c r="U60" s="125">
        <f t="shared" si="14"/>
        <v>31.705535995854977</v>
      </c>
      <c r="V60" s="118">
        <f>C60/3</f>
        <v>1800</v>
      </c>
      <c r="W60" s="125">
        <f t="shared" si="21"/>
        <v>34.812422333844637</v>
      </c>
      <c r="X60" s="125">
        <f t="shared" si="21"/>
        <v>37.988056164154479</v>
      </c>
      <c r="AB60" s="126">
        <f t="shared" si="23"/>
        <v>11.461333333333334</v>
      </c>
      <c r="AD60" s="125">
        <f t="shared" si="17"/>
        <v>-14251.434123869269</v>
      </c>
    </row>
    <row r="61" spans="3:30" x14ac:dyDescent="0.35">
      <c r="C61" s="118">
        <v>5500</v>
      </c>
      <c r="D61" s="122">
        <f t="shared" si="19"/>
        <v>0.41250000000000003</v>
      </c>
      <c r="E61" s="122">
        <f t="shared" si="22"/>
        <v>0.33999999999999997</v>
      </c>
      <c r="F61" s="123" t="str">
        <f t="shared" si="3"/>
        <v/>
      </c>
      <c r="G61" s="123" t="str">
        <f t="shared" si="4"/>
        <v/>
      </c>
      <c r="H61" s="104">
        <f t="shared" si="6"/>
        <v>14400</v>
      </c>
      <c r="I61" s="104" t="str">
        <f t="shared" si="7"/>
        <v/>
      </c>
      <c r="K61" s="104"/>
      <c r="L61" s="104"/>
      <c r="M61" s="104"/>
      <c r="N61" s="104"/>
      <c r="O61" s="125">
        <f t="shared" si="8"/>
        <v>42.170257839710764</v>
      </c>
      <c r="P61" s="125">
        <f t="shared" si="9"/>
        <v>33.945722576756133</v>
      </c>
      <c r="Q61" s="125">
        <f t="shared" si="10"/>
        <v>40.391741105619836</v>
      </c>
      <c r="R61" s="125">
        <f t="shared" si="11"/>
        <v>32.693553680260919</v>
      </c>
      <c r="S61" s="125">
        <f t="shared" si="12"/>
        <v>35.101105785165132</v>
      </c>
      <c r="T61" s="125">
        <f t="shared" si="13"/>
        <v>34.402001985646166</v>
      </c>
      <c r="U61" s="125">
        <f t="shared" si="14"/>
        <v>31.339205530071105</v>
      </c>
      <c r="V61" s="118"/>
      <c r="W61" s="125">
        <f t="shared" si="21"/>
        <v>34.390974002835158</v>
      </c>
      <c r="X61" s="125">
        <f t="shared" si="21"/>
        <v>37.522198968385425</v>
      </c>
      <c r="AB61" s="126">
        <f t="shared" si="23"/>
        <v>11.340218181818184</v>
      </c>
      <c r="AD61" s="125">
        <f t="shared" si="17"/>
        <v>0</v>
      </c>
    </row>
    <row r="62" spans="3:30" x14ac:dyDescent="0.35">
      <c r="C62" s="118">
        <v>5600</v>
      </c>
      <c r="D62" s="122">
        <f t="shared" si="19"/>
        <v>0.41000000000000003</v>
      </c>
      <c r="E62" s="122">
        <f t="shared" si="22"/>
        <v>0.33799999999999997</v>
      </c>
      <c r="F62" s="123" t="str">
        <f t="shared" si="3"/>
        <v/>
      </c>
      <c r="G62" s="123" t="str">
        <f t="shared" si="4"/>
        <v/>
      </c>
      <c r="H62" s="104">
        <f t="shared" si="6"/>
        <v>14400</v>
      </c>
      <c r="I62" s="104" t="str">
        <f t="shared" si="7"/>
        <v/>
      </c>
      <c r="K62" s="104"/>
      <c r="L62" s="104"/>
      <c r="M62" s="104"/>
      <c r="N62" s="104"/>
      <c r="O62" s="125">
        <f t="shared" si="8"/>
        <v>41.619823482369213</v>
      </c>
      <c r="P62" s="125">
        <f t="shared" si="9"/>
        <v>33.513140829394189</v>
      </c>
      <c r="Q62" s="125">
        <f t="shared" si="10"/>
        <v>39.871525366221775</v>
      </c>
      <c r="R62" s="125">
        <f t="shared" si="11"/>
        <v>32.2911064618784</v>
      </c>
      <c r="S62" s="125">
        <f t="shared" si="12"/>
        <v>34.710695696046841</v>
      </c>
      <c r="T62" s="125">
        <f t="shared" si="13"/>
        <v>33.995446335386568</v>
      </c>
      <c r="U62" s="125">
        <f t="shared" si="14"/>
        <v>30.985958295208079</v>
      </c>
      <c r="V62" s="118"/>
      <c r="W62" s="125">
        <f t="shared" si="21"/>
        <v>33.984577397933158</v>
      </c>
      <c r="X62" s="125">
        <f t="shared" si="21"/>
        <v>37.072979529608119</v>
      </c>
      <c r="AB62" s="126">
        <f t="shared" si="23"/>
        <v>11.223428571428572</v>
      </c>
      <c r="AD62" s="125">
        <f t="shared" si="17"/>
        <v>0</v>
      </c>
    </row>
    <row r="63" spans="3:30" x14ac:dyDescent="0.35">
      <c r="C63" s="118">
        <v>5700</v>
      </c>
      <c r="D63" s="122">
        <f t="shared" si="19"/>
        <v>0.40750000000000003</v>
      </c>
      <c r="E63" s="122">
        <f t="shared" si="22"/>
        <v>0.33599999999999997</v>
      </c>
      <c r="F63" s="123" t="str">
        <f t="shared" si="3"/>
        <v/>
      </c>
      <c r="G63" s="123" t="str">
        <f t="shared" si="4"/>
        <v/>
      </c>
      <c r="H63" s="104">
        <f t="shared" si="6"/>
        <v>14400</v>
      </c>
      <c r="I63" s="104" t="str">
        <f t="shared" si="7"/>
        <v/>
      </c>
      <c r="K63" s="104"/>
      <c r="L63" s="104"/>
      <c r="M63" s="104"/>
      <c r="N63" s="104"/>
      <c r="O63" s="125">
        <f t="shared" si="8"/>
        <v>41.088702611250156</v>
      </c>
      <c r="P63" s="125">
        <f t="shared" si="9"/>
        <v>33.095737388957247</v>
      </c>
      <c r="Q63" s="125">
        <f t="shared" si="10"/>
        <v>39.369562810662238</v>
      </c>
      <c r="R63" s="125">
        <f t="shared" si="11"/>
        <v>31.902780198526855</v>
      </c>
      <c r="S63" s="125">
        <f t="shared" si="12"/>
        <v>34.333984206546745</v>
      </c>
      <c r="T63" s="125">
        <f t="shared" si="13"/>
        <v>33.603155795662389</v>
      </c>
      <c r="U63" s="125">
        <f t="shared" si="14"/>
        <v>30.645105700164812</v>
      </c>
      <c r="V63" s="118">
        <f>C63/3</f>
        <v>1900</v>
      </c>
      <c r="W63" s="125">
        <f t="shared" si="21"/>
        <v>33.592440323027716</v>
      </c>
      <c r="X63" s="125">
        <f t="shared" si="21"/>
        <v>36.639522176401947</v>
      </c>
      <c r="AB63" s="126">
        <f t="shared" si="23"/>
        <v>11.110736842105265</v>
      </c>
      <c r="AD63" s="125">
        <f t="shared" si="17"/>
        <v>-14222.538949616757</v>
      </c>
    </row>
    <row r="64" spans="3:30" x14ac:dyDescent="0.35">
      <c r="C64" s="118">
        <v>5800</v>
      </c>
      <c r="D64" s="122">
        <f t="shared" si="19"/>
        <v>0.40500000000000003</v>
      </c>
      <c r="E64" s="122">
        <f t="shared" si="22"/>
        <v>0.33399999999999996</v>
      </c>
      <c r="F64" s="123" t="str">
        <f t="shared" si="3"/>
        <v/>
      </c>
      <c r="G64" s="123" t="str">
        <f t="shared" si="4"/>
        <v/>
      </c>
      <c r="H64" s="104">
        <f t="shared" si="6"/>
        <v>14400</v>
      </c>
      <c r="I64" s="104" t="str">
        <f t="shared" si="7"/>
        <v/>
      </c>
      <c r="K64" s="104"/>
      <c r="L64" s="104"/>
      <c r="M64" s="104"/>
      <c r="N64" s="104"/>
      <c r="O64" s="125">
        <f t="shared" si="8"/>
        <v>40.575896252928324</v>
      </c>
      <c r="P64" s="125">
        <f t="shared" si="9"/>
        <v>32.692727170604321</v>
      </c>
      <c r="Q64" s="125">
        <f t="shared" si="10"/>
        <v>38.884909308742678</v>
      </c>
      <c r="R64" s="125">
        <f t="shared" si="11"/>
        <v>31.527844495980524</v>
      </c>
      <c r="S64" s="125">
        <f t="shared" si="12"/>
        <v>33.970262768408709</v>
      </c>
      <c r="T64" s="125">
        <f t="shared" si="13"/>
        <v>33.224392515928706</v>
      </c>
      <c r="U64" s="125">
        <f t="shared" si="14"/>
        <v>30.316006642881653</v>
      </c>
      <c r="V64" s="118"/>
      <c r="W64" s="125">
        <f t="shared" si="21"/>
        <v>33.213825216222467</v>
      </c>
      <c r="X64" s="125">
        <f t="shared" si="21"/>
        <v>36.221011628478742</v>
      </c>
      <c r="AB64" s="126">
        <f t="shared" si="23"/>
        <v>11.001931034482759</v>
      </c>
      <c r="AD64" s="125">
        <f t="shared" si="17"/>
        <v>0</v>
      </c>
    </row>
    <row r="65" spans="1:30" x14ac:dyDescent="0.35">
      <c r="C65" s="118">
        <v>5900</v>
      </c>
      <c r="D65" s="122">
        <f>D66+$B$66</f>
        <v>0.40250000000000002</v>
      </c>
      <c r="E65" s="122">
        <f t="shared" si="22"/>
        <v>0.33199999999999996</v>
      </c>
      <c r="F65" s="123" t="str">
        <f t="shared" si="3"/>
        <v/>
      </c>
      <c r="G65" s="123" t="str">
        <f t="shared" si="4"/>
        <v/>
      </c>
      <c r="H65" s="104">
        <f t="shared" si="6"/>
        <v>14400</v>
      </c>
      <c r="I65" s="124">
        <f>+H64/6000</f>
        <v>2.4</v>
      </c>
      <c r="K65" s="104"/>
      <c r="L65" s="104"/>
      <c r="M65" s="104"/>
      <c r="N65" s="104"/>
      <c r="O65" s="125">
        <f t="shared" si="8"/>
        <v>40.080473160990273</v>
      </c>
      <c r="P65" s="125">
        <f t="shared" si="9"/>
        <v>32.303378315585391</v>
      </c>
      <c r="Q65" s="125">
        <f t="shared" si="10"/>
        <v>38.416684739091593</v>
      </c>
      <c r="R65" s="125">
        <f t="shared" si="11"/>
        <v>31.165618478266282</v>
      </c>
      <c r="S65" s="125">
        <f t="shared" si="12"/>
        <v>33.618870870546544</v>
      </c>
      <c r="T65" s="125">
        <f t="shared" si="13"/>
        <v>32.858468669406335</v>
      </c>
      <c r="U65" s="125">
        <f t="shared" si="14"/>
        <v>29.998063485845382</v>
      </c>
      <c r="V65" s="118"/>
      <c r="W65" s="125">
        <f t="shared" si="21"/>
        <v>32.848044519817392</v>
      </c>
      <c r="X65" s="125">
        <f t="shared" si="21"/>
        <v>35.816687878790219</v>
      </c>
      <c r="AB65" s="126">
        <f t="shared" si="23"/>
        <v>10.896813559322034</v>
      </c>
      <c r="AD65" s="125">
        <f t="shared" si="17"/>
        <v>0</v>
      </c>
    </row>
    <row r="66" spans="1:30" x14ac:dyDescent="0.35">
      <c r="A66" s="99">
        <v>1</v>
      </c>
      <c r="B66" s="99">
        <f>0.05/20</f>
        <v>2.5000000000000001E-3</v>
      </c>
      <c r="C66" s="118">
        <v>6000</v>
      </c>
      <c r="D66" s="122">
        <v>0.4</v>
      </c>
      <c r="E66" s="122">
        <f t="shared" si="22"/>
        <v>0.32999999999999996</v>
      </c>
      <c r="F66" s="123" t="str">
        <f t="shared" si="3"/>
        <v/>
      </c>
      <c r="G66" s="123" t="str">
        <f t="shared" si="4"/>
        <v/>
      </c>
      <c r="H66" s="104">
        <f>400*36*(1+A66/100)</f>
        <v>14544</v>
      </c>
      <c r="I66" s="104" t="str">
        <f t="shared" ref="I66:I97" si="24">IF($A$18=C66,H66,"")</f>
        <v/>
      </c>
      <c r="K66" s="104"/>
      <c r="L66" s="104"/>
      <c r="M66" s="104"/>
      <c r="N66" s="104"/>
      <c r="O66" s="125">
        <f t="shared" si="8"/>
        <v>39.601564172116824</v>
      </c>
      <c r="P66" s="125">
        <f t="shared" si="9"/>
        <v>31.927007755733776</v>
      </c>
      <c r="Q66" s="125">
        <f t="shared" si="10"/>
        <v>37.964067655095533</v>
      </c>
      <c r="R66" s="125">
        <f t="shared" si="11"/>
        <v>30.815466661142509</v>
      </c>
      <c r="S66" s="125">
        <f t="shared" si="12"/>
        <v>33.279192035946451</v>
      </c>
      <c r="T66" s="125">
        <f t="shared" si="13"/>
        <v>32.504742284434705</v>
      </c>
      <c r="U66" s="125">
        <f t="shared" si="14"/>
        <v>29.690718434043649</v>
      </c>
      <c r="V66" s="118">
        <f>C66/3</f>
        <v>2000</v>
      </c>
      <c r="W66" s="125">
        <f t="shared" si="21"/>
        <v>32.494456513292491</v>
      </c>
      <c r="X66" s="125">
        <f t="shared" si="21"/>
        <v>35.425841587424657</v>
      </c>
      <c r="AB66" s="126">
        <f t="shared" si="23"/>
        <v>10.795200000000001</v>
      </c>
      <c r="AD66" s="125">
        <f t="shared" si="17"/>
        <v>-14193.643775364237</v>
      </c>
    </row>
    <row r="67" spans="1:30" x14ac:dyDescent="0.35">
      <c r="A67" s="99">
        <v>2</v>
      </c>
      <c r="C67" s="118">
        <v>6100</v>
      </c>
      <c r="D67" s="122">
        <f t="shared" ref="D67:D98" si="25">+D66-$B$96</f>
        <v>0.39833333333333337</v>
      </c>
      <c r="E67" s="122">
        <f t="shared" si="22"/>
        <v>0.32799999999999996</v>
      </c>
      <c r="F67" s="123" t="str">
        <f t="shared" si="3"/>
        <v/>
      </c>
      <c r="G67" s="123" t="str">
        <f t="shared" si="4"/>
        <v/>
      </c>
      <c r="H67" s="104">
        <f>400*36*(1+A67/100)</f>
        <v>14688</v>
      </c>
      <c r="I67" s="104" t="str">
        <f t="shared" si="24"/>
        <v/>
      </c>
      <c r="K67" s="104"/>
      <c r="L67" s="104"/>
      <c r="M67" s="104"/>
      <c r="N67" s="104"/>
      <c r="O67" s="125">
        <f t="shared" si="8"/>
        <v>39.08746567561856</v>
      </c>
      <c r="P67" s="125">
        <f t="shared" si="9"/>
        <v>31.520675876945646</v>
      </c>
      <c r="Q67" s="125">
        <f t="shared" si="10"/>
        <v>37.477601624676787</v>
      </c>
      <c r="R67" s="125">
        <f t="shared" si="11"/>
        <v>30.434134524083774</v>
      </c>
      <c r="S67" s="125">
        <f t="shared" si="12"/>
        <v>32.917379497592592</v>
      </c>
      <c r="T67" s="125">
        <f t="shared" si="13"/>
        <v>32.139428318800356</v>
      </c>
      <c r="U67" s="125">
        <f t="shared" si="14"/>
        <v>29.367958178009012</v>
      </c>
      <c r="V67" s="118"/>
      <c r="W67" s="125">
        <f t="shared" si="21"/>
        <v>32.129287981690133</v>
      </c>
      <c r="X67" s="125">
        <f t="shared" si="21"/>
        <v>35.021854134044531</v>
      </c>
      <c r="AB67" s="126">
        <f t="shared" si="23"/>
        <v>10.696918032786886</v>
      </c>
      <c r="AD67" s="125">
        <f t="shared" si="17"/>
        <v>0</v>
      </c>
    </row>
    <row r="68" spans="1:30" x14ac:dyDescent="0.35">
      <c r="A68" s="99">
        <v>3</v>
      </c>
      <c r="C68" s="118">
        <v>6200</v>
      </c>
      <c r="D68" s="122">
        <f t="shared" si="25"/>
        <v>0.39666666666666672</v>
      </c>
      <c r="E68" s="122">
        <f t="shared" si="22"/>
        <v>0.32599999999999996</v>
      </c>
      <c r="F68" s="123" t="str">
        <f t="shared" si="3"/>
        <v/>
      </c>
      <c r="G68" s="123" t="str">
        <f t="shared" si="4"/>
        <v/>
      </c>
      <c r="H68" s="104">
        <f t="shared" ref="H68:H131" si="26">400*36*(1+A68/100)</f>
        <v>14832</v>
      </c>
      <c r="I68" s="104" t="str">
        <f t="shared" si="24"/>
        <v/>
      </c>
      <c r="K68" s="104"/>
      <c r="L68" s="104"/>
      <c r="M68" s="104"/>
      <c r="N68" s="104"/>
      <c r="O68" s="125">
        <f t="shared" ref="O68:O99" si="27">((36*PMT(0.04/12,36,-$O$10*0.9,$O$8*$D68*0.9))/$C68)+(O$17/$C68)+O$13</f>
        <v>38.589951001587977</v>
      </c>
      <c r="P68" s="125">
        <f t="shared" ref="P68:P99" si="28">((36*PMT(0.04/12,36,-$P$10*0.9,$P$8*$D68*0.9))/$C68)+(P$17/$C68)+P$13</f>
        <v>31.127451478118434</v>
      </c>
      <c r="Q68" s="125">
        <f t="shared" ref="Q68:Q99" si="29">((36*PMT(0.04/12,36,-$Q$10*0.9,$Q$8*$D68*0.9))/$C68)+(Q$17/$C68)+Q$13</f>
        <v>37.006828046852192</v>
      </c>
      <c r="R68" s="125">
        <f t="shared" ref="R68:R99" si="30">((36*PMT(0.04/12,36,-$R$10*0.9,$R$8*$D68*0.9))/$C68)+(R$17/$C68)+R$13</f>
        <v>30.065103423704358</v>
      </c>
      <c r="S68" s="125">
        <f t="shared" ref="S68:S99" si="31">((36*PMT(0.04/12,36,-$S$10*0.9,$S$8*$D68*0.9))/$C68)+(S$17/$C68)+S$13+AB68</f>
        <v>32.567238331443683</v>
      </c>
      <c r="T68" s="125">
        <f t="shared" ref="T68:T99" si="32">((36*PMT(0.04/12,36,-$T$10*0.9,$T$10*$D68*0.9))/$C68)+(T$17/$C68)+T$13</f>
        <v>31.785898674638069</v>
      </c>
      <c r="U68" s="125">
        <f t="shared" ref="U68:U99" si="33">((36*PMT(0.04/12,36,-$U$10*0.9,$U$10*$D68*0.9))/$C68)+(U$17/$C68)+U$13</f>
        <v>29.055609543136775</v>
      </c>
      <c r="V68" s="118"/>
      <c r="W68" s="125">
        <f t="shared" si="21"/>
        <v>31.775899080139464</v>
      </c>
      <c r="X68" s="125">
        <f t="shared" si="21"/>
        <v>34.630898533999257</v>
      </c>
      <c r="AB68" s="126">
        <f t="shared" si="23"/>
        <v>10.601806451612903</v>
      </c>
      <c r="AD68" s="125">
        <f t="shared" si="17"/>
        <v>0</v>
      </c>
    </row>
    <row r="69" spans="1:30" x14ac:dyDescent="0.35">
      <c r="A69" s="99">
        <v>4</v>
      </c>
      <c r="C69" s="118">
        <v>6300</v>
      </c>
      <c r="D69" s="122">
        <f t="shared" si="25"/>
        <v>0.39500000000000007</v>
      </c>
      <c r="E69" s="122">
        <f t="shared" si="22"/>
        <v>0.32399999999999995</v>
      </c>
      <c r="F69" s="123" t="str">
        <f t="shared" si="3"/>
        <v/>
      </c>
      <c r="G69" s="123" t="str">
        <f t="shared" si="4"/>
        <v/>
      </c>
      <c r="H69" s="104">
        <f t="shared" si="26"/>
        <v>14976</v>
      </c>
      <c r="I69" s="104" t="str">
        <f t="shared" si="24"/>
        <v/>
      </c>
      <c r="K69" s="104"/>
      <c r="L69" s="104"/>
      <c r="M69" s="104"/>
      <c r="N69" s="104"/>
      <c r="O69" s="125">
        <f t="shared" si="27"/>
        <v>38.108230444193282</v>
      </c>
      <c r="P69" s="125">
        <f t="shared" si="28"/>
        <v>30.746710393539711</v>
      </c>
      <c r="Q69" s="125">
        <f t="shared" si="29"/>
        <v>36.550999661974423</v>
      </c>
      <c r="R69" s="125">
        <f t="shared" si="30"/>
        <v>29.707787596352858</v>
      </c>
      <c r="S69" s="125">
        <f t="shared" si="31"/>
        <v>32.228212757870935</v>
      </c>
      <c r="T69" s="125">
        <f t="shared" si="32"/>
        <v>31.443592193782532</v>
      </c>
      <c r="U69" s="125">
        <f t="shared" si="33"/>
        <v>28.753176737943015</v>
      </c>
      <c r="V69" s="118">
        <f>C69/3</f>
        <v>2100</v>
      </c>
      <c r="W69" s="125">
        <f t="shared" si="21"/>
        <v>31.433728873876117</v>
      </c>
      <c r="X69" s="125">
        <f t="shared" si="21"/>
        <v>34.252354222844311</v>
      </c>
      <c r="AB69" s="126">
        <f t="shared" si="23"/>
        <v>10.509714285714285</v>
      </c>
      <c r="AD69" s="125">
        <f t="shared" si="17"/>
        <v>-13995.740325862575</v>
      </c>
    </row>
    <row r="70" spans="1:30" x14ac:dyDescent="0.35">
      <c r="A70" s="99">
        <v>5</v>
      </c>
      <c r="C70" s="118">
        <v>6400</v>
      </c>
      <c r="D70" s="122">
        <f t="shared" si="25"/>
        <v>0.39333333333333342</v>
      </c>
      <c r="E70" s="122">
        <f t="shared" si="22"/>
        <v>0.32199999999999995</v>
      </c>
      <c r="F70" s="123" t="str">
        <f t="shared" si="3"/>
        <v/>
      </c>
      <c r="G70" s="123" t="str">
        <f t="shared" si="4"/>
        <v/>
      </c>
      <c r="H70" s="104">
        <f t="shared" si="26"/>
        <v>15120</v>
      </c>
      <c r="I70" s="104" t="str">
        <f t="shared" si="24"/>
        <v/>
      </c>
      <c r="K70" s="104"/>
      <c r="L70" s="104"/>
      <c r="M70" s="104"/>
      <c r="N70" s="104"/>
      <c r="O70" s="125">
        <f t="shared" si="27"/>
        <v>37.64156365421718</v>
      </c>
      <c r="P70" s="125">
        <f t="shared" si="28"/>
        <v>30.377867467854063</v>
      </c>
      <c r="Q70" s="125">
        <f t="shared" si="29"/>
        <v>36.109415914124071</v>
      </c>
      <c r="R70" s="125">
        <f t="shared" si="30"/>
        <v>29.361637888606097</v>
      </c>
      <c r="S70" s="125">
        <f t="shared" si="31"/>
        <v>31.899781733472334</v>
      </c>
      <c r="T70" s="125">
        <f t="shared" si="32"/>
        <v>31.11198279045373</v>
      </c>
      <c r="U70" s="125">
        <f t="shared" si="33"/>
        <v>28.460194957911572</v>
      </c>
      <c r="V70" s="118"/>
      <c r="W70" s="125">
        <f t="shared" si="21"/>
        <v>31.102251486558501</v>
      </c>
      <c r="X70" s="125">
        <f t="shared" si="21"/>
        <v>33.885639421412954</v>
      </c>
      <c r="AB70" s="126">
        <f t="shared" si="23"/>
        <v>10.420500000000001</v>
      </c>
      <c r="AD70" s="125">
        <f t="shared" si="17"/>
        <v>0</v>
      </c>
    </row>
    <row r="71" spans="1:30" x14ac:dyDescent="0.35">
      <c r="A71" s="99">
        <v>6</v>
      </c>
      <c r="C71" s="118">
        <v>6500</v>
      </c>
      <c r="D71" s="122">
        <f t="shared" si="25"/>
        <v>0.39166666666666677</v>
      </c>
      <c r="E71" s="122">
        <f t="shared" si="22"/>
        <v>0.31999999999999995</v>
      </c>
      <c r="F71" s="123" t="str">
        <f t="shared" si="3"/>
        <v/>
      </c>
      <c r="G71" s="123" t="str">
        <f t="shared" si="4"/>
        <v/>
      </c>
      <c r="H71" s="104">
        <f t="shared" si="26"/>
        <v>15264</v>
      </c>
      <c r="I71" s="104" t="str">
        <f t="shared" si="24"/>
        <v/>
      </c>
      <c r="K71" s="104"/>
      <c r="L71" s="104"/>
      <c r="M71" s="104"/>
      <c r="N71" s="104"/>
      <c r="O71" s="125">
        <f t="shared" si="27"/>
        <v>37.189255842394168</v>
      </c>
      <c r="P71" s="125">
        <f t="shared" si="28"/>
        <v>30.020373555266431</v>
      </c>
      <c r="Q71" s="125">
        <f t="shared" si="29"/>
        <v>35.681419358515264</v>
      </c>
      <c r="R71" s="125">
        <f t="shared" si="30"/>
        <v>29.026138941097692</v>
      </c>
      <c r="S71" s="125">
        <f t="shared" si="31"/>
        <v>31.581456279055232</v>
      </c>
      <c r="T71" s="125">
        <f t="shared" si="32"/>
        <v>30.790576753381192</v>
      </c>
      <c r="U71" s="125">
        <f t="shared" si="33"/>
        <v>28.176228001881089</v>
      </c>
      <c r="V71" s="118"/>
      <c r="W71" s="125">
        <f t="shared" si="21"/>
        <v>30.780973403466046</v>
      </c>
      <c r="X71" s="125">
        <f t="shared" si="21"/>
        <v>33.53020815233333</v>
      </c>
      <c r="AB71" s="126">
        <f t="shared" si="23"/>
        <v>10.33403076923077</v>
      </c>
      <c r="AD71" s="125">
        <f t="shared" si="17"/>
        <v>0</v>
      </c>
    </row>
    <row r="72" spans="1:30" x14ac:dyDescent="0.35">
      <c r="A72" s="99">
        <v>7</v>
      </c>
      <c r="C72" s="118">
        <v>6600</v>
      </c>
      <c r="D72" s="122">
        <f t="shared" si="25"/>
        <v>0.39000000000000012</v>
      </c>
      <c r="E72" s="122">
        <f t="shared" si="22"/>
        <v>0.31799999999999995</v>
      </c>
      <c r="F72" s="123" t="str">
        <f t="shared" si="3"/>
        <v/>
      </c>
      <c r="G72" s="123" t="str">
        <f t="shared" si="4"/>
        <v/>
      </c>
      <c r="H72" s="104">
        <f t="shared" si="26"/>
        <v>15408</v>
      </c>
      <c r="I72" s="104" t="str">
        <f t="shared" si="24"/>
        <v/>
      </c>
      <c r="K72" s="104"/>
      <c r="L72" s="104"/>
      <c r="M72" s="104"/>
      <c r="N72" s="104"/>
      <c r="O72" s="125">
        <f t="shared" si="27"/>
        <v>36.750654327899142</v>
      </c>
      <c r="P72" s="125">
        <f t="shared" si="28"/>
        <v>29.673712791545107</v>
      </c>
      <c r="Q72" s="125">
        <f t="shared" si="29"/>
        <v>35.266392395500674</v>
      </c>
      <c r="R72" s="125">
        <f t="shared" si="30"/>
        <v>28.700806628362265</v>
      </c>
      <c r="S72" s="125">
        <f t="shared" si="31"/>
        <v>31.272777050529552</v>
      </c>
      <c r="T72" s="125">
        <f t="shared" si="32"/>
        <v>30.478910293189646</v>
      </c>
      <c r="U72" s="125">
        <f t="shared" si="33"/>
        <v>27.900866105124255</v>
      </c>
      <c r="V72" s="118">
        <f>C72/3</f>
        <v>2200</v>
      </c>
      <c r="W72" s="125">
        <f t="shared" si="21"/>
        <v>30.469431019861236</v>
      </c>
      <c r="X72" s="125">
        <f t="shared" si="21"/>
        <v>33.18554752777127</v>
      </c>
      <c r="AB72" s="126">
        <f t="shared" si="23"/>
        <v>10.250181818181819</v>
      </c>
      <c r="AD72" s="125">
        <f>(T72-$O72)*V72</f>
        <v>-13797.836876360891</v>
      </c>
    </row>
    <row r="73" spans="1:30" x14ac:dyDescent="0.35">
      <c r="A73" s="99">
        <v>8</v>
      </c>
      <c r="C73" s="118">
        <v>6700</v>
      </c>
      <c r="D73" s="122">
        <f t="shared" si="25"/>
        <v>0.38833333333333347</v>
      </c>
      <c r="E73" s="122">
        <f t="shared" si="22"/>
        <v>0.31599999999999995</v>
      </c>
      <c r="F73" s="123" t="str">
        <f t="shared" si="3"/>
        <v/>
      </c>
      <c r="G73" s="123" t="str">
        <f t="shared" si="4"/>
        <v/>
      </c>
      <c r="H73" s="104">
        <f t="shared" si="26"/>
        <v>15552.000000000002</v>
      </c>
      <c r="I73" s="104" t="str">
        <f t="shared" si="24"/>
        <v/>
      </c>
      <c r="K73" s="104"/>
      <c r="L73" s="104"/>
      <c r="M73" s="104"/>
      <c r="N73" s="104"/>
      <c r="O73" s="125">
        <f t="shared" si="27"/>
        <v>36.325145395926356</v>
      </c>
      <c r="P73" s="125">
        <f t="shared" si="28"/>
        <v>29.337400110322921</v>
      </c>
      <c r="Q73" s="125">
        <f t="shared" si="29"/>
        <v>34.863754297053674</v>
      </c>
      <c r="R73" s="125">
        <f t="shared" si="30"/>
        <v>28.385185727947309</v>
      </c>
      <c r="S73" s="125">
        <f t="shared" si="31"/>
        <v>30.973312127333003</v>
      </c>
      <c r="T73" s="125">
        <f t="shared" si="32"/>
        <v>30.176547309421728</v>
      </c>
      <c r="U73" s="125">
        <f t="shared" si="33"/>
        <v>27.633723966479575</v>
      </c>
      <c r="V73" s="118"/>
      <c r="W73" s="125">
        <f t="shared" si="21"/>
        <v>30.16718840890135</v>
      </c>
      <c r="X73" s="125">
        <f t="shared" si="21"/>
        <v>32.85117528006181</v>
      </c>
      <c r="AB73" s="126">
        <f t="shared" si="23"/>
        <v>10.168835820895524</v>
      </c>
      <c r="AD73" s="125">
        <f t="shared" si="17"/>
        <v>0</v>
      </c>
    </row>
    <row r="74" spans="1:30" x14ac:dyDescent="0.35">
      <c r="A74" s="99">
        <v>9</v>
      </c>
      <c r="C74" s="118">
        <v>6800</v>
      </c>
      <c r="D74" s="122">
        <f t="shared" si="25"/>
        <v>0.38666666666666683</v>
      </c>
      <c r="E74" s="122">
        <f t="shared" si="22"/>
        <v>0.31399999999999995</v>
      </c>
      <c r="F74" s="123" t="str">
        <f t="shared" si="3"/>
        <v/>
      </c>
      <c r="G74" s="123" t="str">
        <f t="shared" si="4"/>
        <v/>
      </c>
      <c r="H74" s="104">
        <f t="shared" si="26"/>
        <v>15696.000000000002</v>
      </c>
      <c r="I74" s="104" t="str">
        <f t="shared" si="24"/>
        <v/>
      </c>
      <c r="K74" s="104"/>
      <c r="L74" s="104"/>
      <c r="M74" s="104"/>
      <c r="N74" s="104"/>
      <c r="O74" s="125">
        <f t="shared" si="27"/>
        <v>35.912151432541002</v>
      </c>
      <c r="P74" s="125">
        <f t="shared" si="28"/>
        <v>29.010978978548437</v>
      </c>
      <c r="Q74" s="125">
        <f t="shared" si="29"/>
        <v>34.472958495619828</v>
      </c>
      <c r="R74" s="125">
        <f t="shared" si="30"/>
        <v>28.078847795191614</v>
      </c>
      <c r="S74" s="125">
        <f t="shared" si="31"/>
        <v>30.682654995995176</v>
      </c>
      <c r="T74" s="125">
        <f t="shared" si="32"/>
        <v>29.88307735458816</v>
      </c>
      <c r="U74" s="125">
        <f t="shared" si="33"/>
        <v>27.374438949559735</v>
      </c>
      <c r="V74" s="118"/>
      <c r="W74" s="125">
        <f t="shared" si="21"/>
        <v>29.873835286499101</v>
      </c>
      <c r="X74" s="125">
        <f t="shared" si="21"/>
        <v>32.526637510226152</v>
      </c>
      <c r="AB74" s="126">
        <f t="shared" si="23"/>
        <v>10.089882352941178</v>
      </c>
      <c r="AD74" s="125">
        <f t="shared" si="17"/>
        <v>0</v>
      </c>
    </row>
    <row r="75" spans="1:30" x14ac:dyDescent="0.35">
      <c r="A75" s="99">
        <v>10</v>
      </c>
      <c r="C75" s="118">
        <v>6900</v>
      </c>
      <c r="D75" s="122">
        <f t="shared" si="25"/>
        <v>0.38500000000000018</v>
      </c>
      <c r="E75" s="122">
        <f t="shared" si="22"/>
        <v>0.31199999999999994</v>
      </c>
      <c r="F75" s="123" t="str">
        <f t="shared" si="3"/>
        <v/>
      </c>
      <c r="G75" s="123" t="str">
        <f t="shared" si="4"/>
        <v/>
      </c>
      <c r="H75" s="104">
        <f t="shared" si="26"/>
        <v>15840.000000000002</v>
      </c>
      <c r="I75" s="104" t="str">
        <f t="shared" si="24"/>
        <v/>
      </c>
      <c r="K75" s="104"/>
      <c r="L75" s="104"/>
      <c r="M75" s="104"/>
      <c r="N75" s="104"/>
      <c r="O75" s="125">
        <f t="shared" si="27"/>
        <v>35.51112830867406</v>
      </c>
      <c r="P75" s="125">
        <f t="shared" si="28"/>
        <v>28.694019328854385</v>
      </c>
      <c r="Q75" s="125">
        <f t="shared" si="29"/>
        <v>34.093490108720296</v>
      </c>
      <c r="R75" s="125">
        <f t="shared" si="30"/>
        <v>27.78138922280565</v>
      </c>
      <c r="S75" s="125">
        <f t="shared" si="31"/>
        <v>30.400422709043948</v>
      </c>
      <c r="T75" s="125">
        <f t="shared" si="32"/>
        <v>29.598113775257016</v>
      </c>
      <c r="U75" s="125">
        <f t="shared" si="33"/>
        <v>27.122669440376697</v>
      </c>
      <c r="V75" s="118">
        <f>C75/3</f>
        <v>2300</v>
      </c>
      <c r="W75" s="125">
        <f t="shared" si="21"/>
        <v>29.588985153151995</v>
      </c>
      <c r="X75" s="125">
        <f t="shared" si="21"/>
        <v>32.211506632269803</v>
      </c>
      <c r="AB75" s="126">
        <f t="shared" si="23"/>
        <v>10.013217391304348</v>
      </c>
      <c r="AD75" s="125">
        <f>(T75-$O75)*V75</f>
        <v>-13599.933426859201</v>
      </c>
    </row>
    <row r="76" spans="1:30" x14ac:dyDescent="0.35">
      <c r="A76" s="99">
        <v>11</v>
      </c>
      <c r="C76" s="118">
        <v>7000</v>
      </c>
      <c r="D76" s="122">
        <f t="shared" si="25"/>
        <v>0.38333333333333353</v>
      </c>
      <c r="E76" s="122">
        <f t="shared" si="22"/>
        <v>0.30999999999999994</v>
      </c>
      <c r="F76" s="123" t="str">
        <f t="shared" si="3"/>
        <v/>
      </c>
      <c r="G76" s="123" t="str">
        <f t="shared" si="4"/>
        <v/>
      </c>
      <c r="H76" s="104">
        <f t="shared" si="26"/>
        <v>15984.000000000002</v>
      </c>
      <c r="I76" s="104" t="str">
        <f t="shared" si="24"/>
        <v/>
      </c>
      <c r="K76" s="104"/>
      <c r="L76" s="104"/>
      <c r="M76" s="104"/>
      <c r="N76" s="104"/>
      <c r="O76" s="125">
        <f t="shared" si="27"/>
        <v>35.121562988346177</v>
      </c>
      <c r="P76" s="125">
        <f t="shared" si="28"/>
        <v>28.386115669151586</v>
      </c>
      <c r="Q76" s="125">
        <f t="shared" si="29"/>
        <v>33.72486367573218</v>
      </c>
      <c r="R76" s="125">
        <f t="shared" si="30"/>
        <v>27.492429466773565</v>
      </c>
      <c r="S76" s="125">
        <f t="shared" si="31"/>
        <v>30.126254201719895</v>
      </c>
      <c r="T76" s="125">
        <f t="shared" si="32"/>
        <v>29.321292012478189</v>
      </c>
      <c r="U76" s="125">
        <f t="shared" si="33"/>
        <v>26.878093345741746</v>
      </c>
      <c r="V76" s="118"/>
      <c r="W76" s="125">
        <f t="shared" ref="W76:X95" si="34">((36*PMT(0.04/12,36,-W$8*0.9,W$8*$D76*0.9))/$C76)+(W$17/$C76)+W$13</f>
        <v>29.312273595043379</v>
      </c>
      <c r="X76" s="125">
        <f t="shared" si="34"/>
        <v>31.905379493683611</v>
      </c>
      <c r="AB76" s="126">
        <f t="shared" si="23"/>
        <v>9.9387428571428575</v>
      </c>
      <c r="AD76" s="125">
        <f t="shared" si="17"/>
        <v>0</v>
      </c>
    </row>
    <row r="77" spans="1:30" x14ac:dyDescent="0.35">
      <c r="A77" s="99">
        <v>12</v>
      </c>
      <c r="C77" s="118">
        <v>7100</v>
      </c>
      <c r="D77" s="122">
        <f t="shared" si="25"/>
        <v>0.38166666666666688</v>
      </c>
      <c r="E77" s="122">
        <f t="shared" si="22"/>
        <v>0.30799999999999994</v>
      </c>
      <c r="F77" s="123" t="str">
        <f t="shared" si="3"/>
        <v/>
      </c>
      <c r="G77" s="123" t="str">
        <f t="shared" si="4"/>
        <v/>
      </c>
      <c r="H77" s="104">
        <f t="shared" si="26"/>
        <v>16128.000000000002</v>
      </c>
      <c r="I77" s="104" t="str">
        <f t="shared" si="24"/>
        <v/>
      </c>
      <c r="K77" s="104"/>
      <c r="L77" s="104"/>
      <c r="M77" s="104"/>
      <c r="N77" s="104"/>
      <c r="O77" s="125">
        <f t="shared" si="27"/>
        <v>34.742971339013451</v>
      </c>
      <c r="P77" s="125">
        <f t="shared" si="28"/>
        <v>28.086885351975624</v>
      </c>
      <c r="Q77" s="125">
        <f t="shared" si="29"/>
        <v>33.366621085926823</v>
      </c>
      <c r="R77" s="125">
        <f t="shared" si="30"/>
        <v>27.211609422179009</v>
      </c>
      <c r="S77" s="125">
        <f t="shared" si="31"/>
        <v>29.859808750940189</v>
      </c>
      <c r="T77" s="125">
        <f t="shared" si="32"/>
        <v>29.052268045833973</v>
      </c>
      <c r="U77" s="125">
        <f t="shared" si="33"/>
        <v>26.640406718561305</v>
      </c>
      <c r="V77" s="118"/>
      <c r="W77" s="125">
        <f t="shared" si="34"/>
        <v>29.043356728712467</v>
      </c>
      <c r="X77" s="125">
        <f t="shared" si="34"/>
        <v>31.607875654775924</v>
      </c>
      <c r="AB77" s="126">
        <f t="shared" si="23"/>
        <v>9.8663661971830994</v>
      </c>
      <c r="AD77" s="125">
        <f t="shared" si="17"/>
        <v>0</v>
      </c>
    </row>
    <row r="78" spans="1:30" x14ac:dyDescent="0.35">
      <c r="A78" s="99">
        <v>13</v>
      </c>
      <c r="C78" s="118">
        <v>7200</v>
      </c>
      <c r="D78" s="122">
        <f t="shared" si="25"/>
        <v>0.38000000000000023</v>
      </c>
      <c r="E78" s="122">
        <f t="shared" si="22"/>
        <v>0.30599999999999994</v>
      </c>
      <c r="F78" s="123" t="str">
        <f t="shared" si="3"/>
        <v/>
      </c>
      <c r="G78" s="123" t="str">
        <f t="shared" si="4"/>
        <v/>
      </c>
      <c r="H78" s="104">
        <f t="shared" si="26"/>
        <v>16271.999999999998</v>
      </c>
      <c r="I78" s="104" t="str">
        <f t="shared" si="24"/>
        <v/>
      </c>
      <c r="K78" s="104"/>
      <c r="L78" s="104"/>
      <c r="M78" s="104"/>
      <c r="N78" s="104"/>
      <c r="O78" s="125">
        <f t="shared" si="27"/>
        <v>34.374896124384406</v>
      </c>
      <c r="P78" s="125">
        <f t="shared" si="28"/>
        <v>27.795966988054552</v>
      </c>
      <c r="Q78" s="125">
        <f t="shared" si="29"/>
        <v>33.018329679171622</v>
      </c>
      <c r="R78" s="125">
        <f t="shared" si="30"/>
        <v>26.93858993437874</v>
      </c>
      <c r="S78" s="125">
        <f t="shared" si="31"/>
        <v>29.600764562682137</v>
      </c>
      <c r="T78" s="125">
        <f t="shared" si="32"/>
        <v>28.7907169671521</v>
      </c>
      <c r="U78" s="125">
        <f t="shared" si="33"/>
        <v>26.409322497691427</v>
      </c>
      <c r="V78" s="118">
        <f>C78/3</f>
        <v>2400</v>
      </c>
      <c r="W78" s="125">
        <f t="shared" si="34"/>
        <v>28.781909775335194</v>
      </c>
      <c r="X78" s="125">
        <f t="shared" si="34"/>
        <v>31.318635811393449</v>
      </c>
      <c r="AB78" s="126">
        <f t="shared" si="23"/>
        <v>9.7959999999999994</v>
      </c>
      <c r="AD78" s="125">
        <f t="shared" si="17"/>
        <v>-13402.029977357535</v>
      </c>
    </row>
    <row r="79" spans="1:30" x14ac:dyDescent="0.35">
      <c r="A79" s="99">
        <v>14</v>
      </c>
      <c r="C79" s="118">
        <v>7300</v>
      </c>
      <c r="D79" s="122">
        <f t="shared" si="25"/>
        <v>0.37833333333333358</v>
      </c>
      <c r="E79" s="122">
        <f t="shared" si="22"/>
        <v>0.30399999999999994</v>
      </c>
      <c r="F79" s="123" t="str">
        <f t="shared" si="3"/>
        <v/>
      </c>
      <c r="G79" s="123" t="str">
        <f t="shared" si="4"/>
        <v/>
      </c>
      <c r="H79" s="104">
        <f t="shared" si="26"/>
        <v>16416</v>
      </c>
      <c r="I79" s="104" t="str">
        <f t="shared" si="24"/>
        <v/>
      </c>
      <c r="K79" s="104"/>
      <c r="L79" s="104"/>
      <c r="M79" s="104"/>
      <c r="N79" s="104"/>
      <c r="O79" s="125">
        <f t="shared" si="27"/>
        <v>34.016905162210954</v>
      </c>
      <c r="P79" s="125">
        <f t="shared" si="28"/>
        <v>27.513018990268307</v>
      </c>
      <c r="Q79" s="125">
        <f t="shared" si="29"/>
        <v>32.679580502738482</v>
      </c>
      <c r="R79" s="125">
        <f t="shared" si="30"/>
        <v>26.673050432545608</v>
      </c>
      <c r="S79" s="125">
        <f t="shared" si="31"/>
        <v>29.348817475472256</v>
      </c>
      <c r="T79" s="125">
        <f t="shared" si="32"/>
        <v>28.536331671447815</v>
      </c>
      <c r="U79" s="125">
        <f t="shared" si="33"/>
        <v>26.184569351365933</v>
      </c>
      <c r="V79" s="118"/>
      <c r="W79" s="125">
        <f t="shared" si="34"/>
        <v>28.527625752187433</v>
      </c>
      <c r="X79" s="125">
        <f t="shared" si="34"/>
        <v>31.037320347281714</v>
      </c>
      <c r="AB79" s="126">
        <f t="shared" si="23"/>
        <v>9.7275616438356174</v>
      </c>
      <c r="AD79" s="125">
        <f t="shared" si="17"/>
        <v>0</v>
      </c>
    </row>
    <row r="80" spans="1:30" x14ac:dyDescent="0.35">
      <c r="A80" s="99">
        <v>15</v>
      </c>
      <c r="C80" s="118">
        <v>7400</v>
      </c>
      <c r="D80" s="122">
        <f t="shared" si="25"/>
        <v>0.37666666666666693</v>
      </c>
      <c r="E80" s="122">
        <f t="shared" si="22"/>
        <v>0.30199999999999994</v>
      </c>
      <c r="F80" s="123" t="str">
        <f t="shared" si="3"/>
        <v/>
      </c>
      <c r="G80" s="123" t="str">
        <f t="shared" si="4"/>
        <v/>
      </c>
      <c r="H80" s="104">
        <f t="shared" si="26"/>
        <v>16560</v>
      </c>
      <c r="I80" s="104" t="str">
        <f t="shared" si="24"/>
        <v/>
      </c>
      <c r="K80" s="104"/>
      <c r="L80" s="104"/>
      <c r="M80" s="104"/>
      <c r="N80" s="104"/>
      <c r="O80" s="125">
        <f t="shared" si="27"/>
        <v>33.668589631447595</v>
      </c>
      <c r="P80" s="125">
        <f t="shared" si="28"/>
        <v>27.237718235665472</v>
      </c>
      <c r="Q80" s="125">
        <f t="shared" si="29"/>
        <v>32.349986709452175</v>
      </c>
      <c r="R80" s="125">
        <f t="shared" si="30"/>
        <v>26.414687674005265</v>
      </c>
      <c r="S80" s="125">
        <f t="shared" si="31"/>
        <v>29.103679768997775</v>
      </c>
      <c r="T80" s="125">
        <f t="shared" si="32"/>
        <v>28.288821654005805</v>
      </c>
      <c r="U80" s="125">
        <f t="shared" si="33"/>
        <v>25.965890614400589</v>
      </c>
      <c r="V80" s="118"/>
      <c r="W80" s="125">
        <f t="shared" si="34"/>
        <v>28.280214270205825</v>
      </c>
      <c r="X80" s="125">
        <f t="shared" si="34"/>
        <v>30.763608003821663</v>
      </c>
      <c r="AB80" s="126">
        <f t="shared" si="23"/>
        <v>9.6609729729729743</v>
      </c>
      <c r="AD80" s="125">
        <f t="shared" si="17"/>
        <v>0</v>
      </c>
    </row>
    <row r="81" spans="1:30" x14ac:dyDescent="0.35">
      <c r="A81" s="99">
        <v>16</v>
      </c>
      <c r="C81" s="118">
        <v>7500</v>
      </c>
      <c r="D81" s="122">
        <f t="shared" si="25"/>
        <v>0.37500000000000028</v>
      </c>
      <c r="E81" s="122">
        <f t="shared" si="22"/>
        <v>0.29999999999999993</v>
      </c>
      <c r="F81" s="123" t="str">
        <f>IF($D$19=C81,D81,"")</f>
        <v/>
      </c>
      <c r="G81" s="123">
        <f>IF($E$19=C81,E81,"")</f>
        <v>0.29999999999999993</v>
      </c>
      <c r="H81" s="104">
        <f t="shared" si="26"/>
        <v>16704</v>
      </c>
      <c r="I81" s="104" t="str">
        <f t="shared" si="24"/>
        <v/>
      </c>
      <c r="K81" s="104"/>
      <c r="L81" s="104"/>
      <c r="M81" s="104"/>
      <c r="N81" s="104"/>
      <c r="O81" s="125">
        <f t="shared" si="27"/>
        <v>33.329562514837917</v>
      </c>
      <c r="P81" s="125">
        <f t="shared" si="28"/>
        <v>26.969758834518707</v>
      </c>
      <c r="Q81" s="125">
        <f t="shared" si="29"/>
        <v>32.029182083986846</v>
      </c>
      <c r="R81" s="125">
        <f t="shared" si="30"/>
        <v>26.163214589025991</v>
      </c>
      <c r="S81" s="125">
        <f t="shared" si="31"/>
        <v>28.865079068029278</v>
      </c>
      <c r="T81" s="125">
        <f t="shared" si="32"/>
        <v>28.047911903695582</v>
      </c>
      <c r="U81" s="125">
        <f t="shared" si="33"/>
        <v>25.753043310420981</v>
      </c>
      <c r="V81" s="118">
        <f>C81/3</f>
        <v>2500</v>
      </c>
      <c r="W81" s="125">
        <f t="shared" si="34"/>
        <v>28.039400427743733</v>
      </c>
      <c r="X81" s="125">
        <f t="shared" si="34"/>
        <v>30.497194656187204</v>
      </c>
      <c r="AB81" s="126">
        <f t="shared" si="23"/>
        <v>9.5961600000000011</v>
      </c>
      <c r="AD81" s="125">
        <f t="shared" si="17"/>
        <v>-13204.12652785584</v>
      </c>
    </row>
    <row r="82" spans="1:30" x14ac:dyDescent="0.35">
      <c r="A82" s="99">
        <v>17</v>
      </c>
      <c r="C82" s="118">
        <v>7600</v>
      </c>
      <c r="D82" s="122">
        <f t="shared" si="25"/>
        <v>0.37333333333333363</v>
      </c>
      <c r="E82" s="122">
        <f t="shared" si="22"/>
        <v>0.29799999999999993</v>
      </c>
      <c r="F82" s="123" t="str">
        <f t="shared" ref="F82:F145" si="35">IF($D$19=C82,D82,"")</f>
        <v/>
      </c>
      <c r="G82" s="123" t="str">
        <f t="shared" ref="G82:G145" si="36">IF($E$19=C82,E82,"")</f>
        <v/>
      </c>
      <c r="H82" s="104">
        <f t="shared" si="26"/>
        <v>16848</v>
      </c>
      <c r="I82" s="104" t="str">
        <f t="shared" si="24"/>
        <v/>
      </c>
      <c r="K82" s="104"/>
      <c r="L82" s="104"/>
      <c r="M82" s="104"/>
      <c r="N82" s="104"/>
      <c r="O82" s="125">
        <f t="shared" si="27"/>
        <v>32.999457164454824</v>
      </c>
      <c r="P82" s="125">
        <f t="shared" si="28"/>
        <v>26.708850996560024</v>
      </c>
      <c r="Q82" s="125">
        <f t="shared" si="29"/>
        <v>31.716819685507438</v>
      </c>
      <c r="R82" s="125">
        <f t="shared" si="30"/>
        <v>25.918359216809328</v>
      </c>
      <c r="S82" s="125">
        <f t="shared" si="31"/>
        <v>28.632757332875741</v>
      </c>
      <c r="T82" s="125">
        <f t="shared" si="32"/>
        <v>27.81334188365668</v>
      </c>
      <c r="U82" s="125">
        <f t="shared" si="33"/>
        <v>25.545797251282956</v>
      </c>
      <c r="V82" s="118"/>
      <c r="W82" s="125">
        <f t="shared" si="34"/>
        <v>27.804923791662219</v>
      </c>
      <c r="X82" s="125">
        <f t="shared" si="34"/>
        <v>30.237792186122075</v>
      </c>
      <c r="AB82" s="126">
        <f t="shared" si="23"/>
        <v>9.533052631578947</v>
      </c>
      <c r="AD82" s="125">
        <f t="shared" si="17"/>
        <v>0</v>
      </c>
    </row>
    <row r="83" spans="1:30" x14ac:dyDescent="0.35">
      <c r="A83" s="99">
        <v>18</v>
      </c>
      <c r="C83" s="118">
        <v>7700</v>
      </c>
      <c r="D83" s="122">
        <f t="shared" si="25"/>
        <v>0.37166666666666698</v>
      </c>
      <c r="E83" s="122">
        <f t="shared" si="22"/>
        <v>0.29599999999999993</v>
      </c>
      <c r="F83" s="123" t="str">
        <f t="shared" si="35"/>
        <v/>
      </c>
      <c r="G83" s="123" t="str">
        <f t="shared" si="36"/>
        <v/>
      </c>
      <c r="H83" s="104">
        <f t="shared" si="26"/>
        <v>16992</v>
      </c>
      <c r="I83" s="104" t="str">
        <f t="shared" si="24"/>
        <v/>
      </c>
      <c r="K83" s="104"/>
      <c r="L83" s="104"/>
      <c r="M83" s="104"/>
      <c r="N83" s="104"/>
      <c r="O83" s="125">
        <f t="shared" si="27"/>
        <v>32.677925979016742</v>
      </c>
      <c r="P83" s="125">
        <f t="shared" si="28"/>
        <v>26.454719985561297</v>
      </c>
      <c r="Q83" s="125">
        <f t="shared" si="29"/>
        <v>31.412570596079441</v>
      </c>
      <c r="R83" s="125">
        <f t="shared" si="30"/>
        <v>25.679863724390508</v>
      </c>
      <c r="S83" s="125">
        <f t="shared" si="31"/>
        <v>28.406469928505423</v>
      </c>
      <c r="T83" s="125">
        <f t="shared" si="32"/>
        <v>27.584864591410998</v>
      </c>
      <c r="U83" s="125">
        <f t="shared" si="33"/>
        <v>25.343934206667985</v>
      </c>
      <c r="V83" s="118"/>
      <c r="W83" s="125">
        <f t="shared" si="34"/>
        <v>27.576537457816592</v>
      </c>
      <c r="X83" s="125">
        <f t="shared" si="34"/>
        <v>29.985127442552145</v>
      </c>
      <c r="AB83" s="126">
        <f t="shared" si="23"/>
        <v>9.4715844155844167</v>
      </c>
      <c r="AD83" s="125">
        <f t="shared" si="17"/>
        <v>0</v>
      </c>
    </row>
    <row r="84" spans="1:30" x14ac:dyDescent="0.35">
      <c r="A84" s="99">
        <v>19</v>
      </c>
      <c r="C84" s="118">
        <v>7800</v>
      </c>
      <c r="D84" s="122">
        <f t="shared" si="25"/>
        <v>0.37000000000000033</v>
      </c>
      <c r="E84" s="122">
        <f t="shared" si="22"/>
        <v>0.29399999999999993</v>
      </c>
      <c r="F84" s="123" t="str">
        <f t="shared" si="35"/>
        <v/>
      </c>
      <c r="G84" s="123" t="str">
        <f t="shared" si="36"/>
        <v/>
      </c>
      <c r="H84" s="104">
        <f t="shared" si="26"/>
        <v>17136</v>
      </c>
      <c r="I84" s="104" t="str">
        <f t="shared" si="24"/>
        <v/>
      </c>
      <c r="K84" s="104"/>
      <c r="L84" s="104"/>
      <c r="M84" s="104"/>
      <c r="N84" s="104"/>
      <c r="O84" s="125">
        <f t="shared" si="27"/>
        <v>32.364639182948856</v>
      </c>
      <c r="P84" s="125">
        <f t="shared" si="28"/>
        <v>26.207105154331774</v>
      </c>
      <c r="Q84" s="125">
        <f t="shared" si="29"/>
        <v>31.116122765354739</v>
      </c>
      <c r="R84" s="125">
        <f t="shared" si="30"/>
        <v>25.447483501008065</v>
      </c>
      <c r="S84" s="125">
        <f t="shared" si="31"/>
        <v>28.185984765272796</v>
      </c>
      <c r="T84" s="125">
        <f t="shared" si="32"/>
        <v>27.362245691274179</v>
      </c>
      <c r="U84" s="125">
        <f t="shared" si="33"/>
        <v>25.147247137555961</v>
      </c>
      <c r="V84" s="118">
        <f>C84/3</f>
        <v>2600</v>
      </c>
      <c r="W84" s="125">
        <f t="shared" si="34"/>
        <v>27.354007183813156</v>
      </c>
      <c r="X84" s="125">
        <f t="shared" si="34"/>
        <v>29.738941282150673</v>
      </c>
      <c r="AB84" s="126">
        <f t="shared" si="23"/>
        <v>9.4116923076923094</v>
      </c>
      <c r="AD84" s="125">
        <f t="shared" si="17"/>
        <v>-13006.223078354162</v>
      </c>
    </row>
    <row r="85" spans="1:30" x14ac:dyDescent="0.35">
      <c r="A85" s="99">
        <v>20</v>
      </c>
      <c r="C85" s="118">
        <v>7900</v>
      </c>
      <c r="D85" s="122">
        <f t="shared" si="25"/>
        <v>0.36833333333333368</v>
      </c>
      <c r="E85" s="122">
        <f t="shared" si="22"/>
        <v>0.29199999999999993</v>
      </c>
      <c r="F85" s="123" t="str">
        <f t="shared" si="35"/>
        <v/>
      </c>
      <c r="G85" s="123" t="str">
        <f t="shared" si="36"/>
        <v/>
      </c>
      <c r="H85" s="104">
        <f t="shared" si="26"/>
        <v>17280</v>
      </c>
      <c r="I85" s="104" t="str">
        <f t="shared" si="24"/>
        <v/>
      </c>
      <c r="K85" s="104"/>
      <c r="L85" s="104"/>
      <c r="M85" s="104"/>
      <c r="N85" s="104"/>
      <c r="O85" s="125">
        <f t="shared" si="27"/>
        <v>32.059283698173843</v>
      </c>
      <c r="P85" s="125">
        <f t="shared" si="28"/>
        <v>25.965759053006799</v>
      </c>
      <c r="Q85" s="125">
        <f t="shared" si="29"/>
        <v>30.827179943002804</v>
      </c>
      <c r="R85" s="125">
        <f t="shared" si="30"/>
        <v>25.220986321255559</v>
      </c>
      <c r="S85" s="125">
        <f t="shared" si="31"/>
        <v>27.97108150490682</v>
      </c>
      <c r="T85" s="125">
        <f t="shared" si="32"/>
        <v>27.145262712659811</v>
      </c>
      <c r="U85" s="125">
        <f t="shared" si="33"/>
        <v>24.955539487915132</v>
      </c>
      <c r="V85" s="118"/>
      <c r="W85" s="125">
        <f t="shared" si="34"/>
        <v>27.137110587632595</v>
      </c>
      <c r="X85" s="125">
        <f t="shared" si="34"/>
        <v>29.498987682772025</v>
      </c>
      <c r="AB85" s="126">
        <f t="shared" si="23"/>
        <v>9.3533164556962021</v>
      </c>
      <c r="AD85" s="125">
        <f t="shared" si="17"/>
        <v>0</v>
      </c>
    </row>
    <row r="86" spans="1:30" x14ac:dyDescent="0.35">
      <c r="A86" s="99">
        <v>21</v>
      </c>
      <c r="C86" s="118">
        <v>8000</v>
      </c>
      <c r="D86" s="122">
        <f t="shared" si="25"/>
        <v>0.36666666666666703</v>
      </c>
      <c r="E86" s="122">
        <f t="shared" si="22"/>
        <v>0.28999999999999992</v>
      </c>
      <c r="F86" s="123" t="str">
        <f t="shared" si="35"/>
        <v/>
      </c>
      <c r="G86" s="123" t="str">
        <f t="shared" si="36"/>
        <v/>
      </c>
      <c r="H86" s="104">
        <f t="shared" si="26"/>
        <v>17424</v>
      </c>
      <c r="I86" s="104" t="str">
        <f t="shared" si="24"/>
        <v/>
      </c>
      <c r="K86" s="104"/>
      <c r="L86" s="104"/>
      <c r="M86" s="104"/>
      <c r="N86" s="104"/>
      <c r="O86" s="125">
        <f t="shared" si="27"/>
        <v>31.761562100518194</v>
      </c>
      <c r="P86" s="125">
        <f t="shared" si="28"/>
        <v>25.730446604214947</v>
      </c>
      <c r="Q86" s="125">
        <f t="shared" si="29"/>
        <v>30.545460691209669</v>
      </c>
      <c r="R86" s="125">
        <f t="shared" si="30"/>
        <v>25.000151570996863</v>
      </c>
      <c r="S86" s="125">
        <f t="shared" si="31"/>
        <v>27.761550826049984</v>
      </c>
      <c r="T86" s="125">
        <f t="shared" si="32"/>
        <v>26.933704308510801</v>
      </c>
      <c r="U86" s="125">
        <f t="shared" si="33"/>
        <v>24.768624529515318</v>
      </c>
      <c r="V86" s="118"/>
      <c r="W86" s="125">
        <f t="shared" si="34"/>
        <v>26.925636406356542</v>
      </c>
      <c r="X86" s="125">
        <f t="shared" si="34"/>
        <v>29.265032923377845</v>
      </c>
      <c r="AB86" s="126">
        <f t="shared" si="23"/>
        <v>9.2964000000000002</v>
      </c>
      <c r="AD86" s="125">
        <f t="shared" si="17"/>
        <v>0</v>
      </c>
    </row>
    <row r="87" spans="1:30" x14ac:dyDescent="0.35">
      <c r="A87" s="99">
        <v>22</v>
      </c>
      <c r="C87" s="118">
        <v>8100</v>
      </c>
      <c r="D87" s="122">
        <f t="shared" si="25"/>
        <v>0.36500000000000038</v>
      </c>
      <c r="E87" s="122">
        <f t="shared" si="22"/>
        <v>0.28799999999999992</v>
      </c>
      <c r="F87" s="123" t="str">
        <f t="shared" si="35"/>
        <v/>
      </c>
      <c r="G87" s="123" t="str">
        <f t="shared" si="36"/>
        <v/>
      </c>
      <c r="H87" s="104">
        <f t="shared" si="26"/>
        <v>17568</v>
      </c>
      <c r="I87" s="104" t="str">
        <f t="shared" si="24"/>
        <v/>
      </c>
      <c r="K87" s="104"/>
      <c r="L87" s="104"/>
      <c r="M87" s="104"/>
      <c r="N87" s="104"/>
      <c r="O87" s="125">
        <f t="shared" si="27"/>
        <v>31.471191653421947</v>
      </c>
      <c r="P87" s="125">
        <f t="shared" si="28"/>
        <v>25.500944339343878</v>
      </c>
      <c r="Q87" s="125">
        <f t="shared" si="29"/>
        <v>30.270697470325004</v>
      </c>
      <c r="R87" s="125">
        <f t="shared" si="30"/>
        <v>24.784769530621105</v>
      </c>
      <c r="S87" s="125">
        <f t="shared" si="31"/>
        <v>27.557193744201971</v>
      </c>
      <c r="T87" s="125">
        <f t="shared" si="32"/>
        <v>26.727369568661768</v>
      </c>
      <c r="U87" s="125">
        <f t="shared" si="33"/>
        <v>24.58632475527353</v>
      </c>
      <c r="V87" s="118">
        <f>C87/3</f>
        <v>2700</v>
      </c>
      <c r="W87" s="125">
        <f t="shared" si="34"/>
        <v>26.719383809803364</v>
      </c>
      <c r="X87" s="125">
        <f t="shared" si="34"/>
        <v>29.03685482470944</v>
      </c>
      <c r="AB87" s="126">
        <f t="shared" si="23"/>
        <v>9.2408888888888896</v>
      </c>
      <c r="AD87" s="125">
        <f t="shared" si="17"/>
        <v>-12808.319628852483</v>
      </c>
    </row>
    <row r="88" spans="1:30" x14ac:dyDescent="0.35">
      <c r="A88" s="99">
        <v>23</v>
      </c>
      <c r="C88" s="118">
        <v>8200</v>
      </c>
      <c r="D88" s="122">
        <f t="shared" si="25"/>
        <v>0.36333333333333373</v>
      </c>
      <c r="E88" s="122">
        <f t="shared" si="22"/>
        <v>0.28599999999999992</v>
      </c>
      <c r="F88" s="123" t="str">
        <f t="shared" si="35"/>
        <v/>
      </c>
      <c r="G88" s="123" t="str">
        <f t="shared" si="36"/>
        <v/>
      </c>
      <c r="H88" s="104">
        <f>400*36*(1+A88/100)</f>
        <v>17712</v>
      </c>
      <c r="I88" s="104" t="str">
        <f t="shared" si="24"/>
        <v/>
      </c>
      <c r="K88" s="104"/>
      <c r="L88" s="104"/>
      <c r="M88" s="104"/>
      <c r="N88" s="104"/>
      <c r="O88" s="125">
        <f t="shared" si="27"/>
        <v>31.187903412352444</v>
      </c>
      <c r="P88" s="125">
        <f t="shared" si="28"/>
        <v>25.277039690689168</v>
      </c>
      <c r="Q88" s="125">
        <f t="shared" si="29"/>
        <v>30.002635791413141</v>
      </c>
      <c r="R88" s="125">
        <f t="shared" si="30"/>
        <v>24.574640710742308</v>
      </c>
      <c r="S88" s="125">
        <f t="shared" si="31"/>
        <v>27.357820981423416</v>
      </c>
      <c r="T88" s="125">
        <f t="shared" si="32"/>
        <v>26.526067383443195</v>
      </c>
      <c r="U88" s="125">
        <f t="shared" si="33"/>
        <v>24.408471316988855</v>
      </c>
      <c r="V88" s="118"/>
      <c r="W88" s="125">
        <f t="shared" si="34"/>
        <v>26.518161764385621</v>
      </c>
      <c r="X88" s="125">
        <f t="shared" si="34"/>
        <v>28.814242045520761</v>
      </c>
      <c r="AB88" s="126">
        <f t="shared" si="23"/>
        <v>9.1867317073170724</v>
      </c>
      <c r="AD88" s="125">
        <f t="shared" si="17"/>
        <v>0</v>
      </c>
    </row>
    <row r="89" spans="1:30" x14ac:dyDescent="0.35">
      <c r="A89" s="99">
        <v>24</v>
      </c>
      <c r="C89" s="118">
        <v>8300</v>
      </c>
      <c r="D89" s="122">
        <f t="shared" si="25"/>
        <v>0.36166666666666708</v>
      </c>
      <c r="E89" s="122">
        <f t="shared" si="22"/>
        <v>0.28399999999999992</v>
      </c>
      <c r="F89" s="123" t="str">
        <f t="shared" si="35"/>
        <v/>
      </c>
      <c r="G89" s="123" t="str">
        <f t="shared" si="36"/>
        <v/>
      </c>
      <c r="H89" s="104">
        <f t="shared" si="26"/>
        <v>17856</v>
      </c>
      <c r="I89" s="104" t="str">
        <f t="shared" si="24"/>
        <v/>
      </c>
      <c r="K89" s="104"/>
      <c r="L89" s="104"/>
      <c r="M89" s="104"/>
      <c r="N89" s="104"/>
      <c r="O89" s="125">
        <f t="shared" si="27"/>
        <v>30.911441393959311</v>
      </c>
      <c r="P89" s="125">
        <f t="shared" si="28"/>
        <v>25.058530334773138</v>
      </c>
      <c r="Q89" s="125">
        <f t="shared" si="29"/>
        <v>29.741033430065414</v>
      </c>
      <c r="R89" s="125">
        <f t="shared" si="30"/>
        <v>24.369575235920827</v>
      </c>
      <c r="S89" s="125">
        <f t="shared" si="31"/>
        <v>27.163252381603378</v>
      </c>
      <c r="T89" s="125">
        <f t="shared" si="32"/>
        <v>26.329615853290136</v>
      </c>
      <c r="U89" s="125">
        <f t="shared" si="33"/>
        <v>24.234903503723093</v>
      </c>
      <c r="V89" s="118"/>
      <c r="W89" s="125">
        <f t="shared" si="34"/>
        <v>26.321788442953856</v>
      </c>
      <c r="X89" s="125">
        <f t="shared" si="34"/>
        <v>28.59699342968602</v>
      </c>
      <c r="AB89" s="126">
        <f t="shared" si="23"/>
        <v>9.1338795180722894</v>
      </c>
      <c r="AD89" s="125">
        <f t="shared" si="17"/>
        <v>0</v>
      </c>
    </row>
    <row r="90" spans="1:30" x14ac:dyDescent="0.35">
      <c r="A90" s="99">
        <v>25</v>
      </c>
      <c r="C90" s="118">
        <v>8400</v>
      </c>
      <c r="D90" s="122">
        <f t="shared" si="25"/>
        <v>0.36000000000000043</v>
      </c>
      <c r="E90" s="122">
        <f t="shared" si="22"/>
        <v>0.28199999999999992</v>
      </c>
      <c r="F90" s="123" t="str">
        <f t="shared" si="35"/>
        <v/>
      </c>
      <c r="G90" s="123" t="str">
        <f t="shared" si="36"/>
        <v/>
      </c>
      <c r="H90" s="104">
        <f t="shared" si="26"/>
        <v>18000</v>
      </c>
      <c r="I90" s="104" t="str">
        <f t="shared" si="24"/>
        <v/>
      </c>
      <c r="K90" s="104"/>
      <c r="L90" s="104"/>
      <c r="M90" s="104"/>
      <c r="N90" s="104"/>
      <c r="O90" s="125">
        <f t="shared" si="27"/>
        <v>30.641561804575538</v>
      </c>
      <c r="P90" s="125">
        <f t="shared" si="28"/>
        <v>24.845223582569393</v>
      </c>
      <c r="Q90" s="125">
        <f t="shared" si="29"/>
        <v>29.485659696368835</v>
      </c>
      <c r="R90" s="125">
        <f t="shared" si="30"/>
        <v>24.169392272404629</v>
      </c>
      <c r="S90" s="125">
        <f t="shared" si="31"/>
        <v>26.97331636749335</v>
      </c>
      <c r="T90" s="125">
        <f t="shared" si="32"/>
        <v>26.137841740521672</v>
      </c>
      <c r="U90" s="125">
        <f t="shared" si="33"/>
        <v>24.065468257439843</v>
      </c>
      <c r="V90" s="118">
        <f>C90/3</f>
        <v>2800</v>
      </c>
      <c r="W90" s="125">
        <f t="shared" si="34"/>
        <v>26.130090676794268</v>
      </c>
      <c r="X90" s="125">
        <f t="shared" si="34"/>
        <v>28.384917399942584</v>
      </c>
      <c r="AB90" s="126">
        <f t="shared" si="23"/>
        <v>9.0822857142857139</v>
      </c>
      <c r="AD90" s="125">
        <f t="shared" si="17"/>
        <v>-12610.416179350825</v>
      </c>
    </row>
    <row r="91" spans="1:30" x14ac:dyDescent="0.35">
      <c r="A91" s="99">
        <v>26</v>
      </c>
      <c r="C91" s="118">
        <v>8500</v>
      </c>
      <c r="D91" s="122">
        <f t="shared" si="25"/>
        <v>0.35833333333333378</v>
      </c>
      <c r="E91" s="122">
        <f t="shared" si="22"/>
        <v>0.27999999999999992</v>
      </c>
      <c r="F91" s="123" t="str">
        <f t="shared" si="35"/>
        <v/>
      </c>
      <c r="G91" s="123" t="str">
        <f t="shared" si="36"/>
        <v/>
      </c>
      <c r="H91" s="104">
        <f t="shared" si="26"/>
        <v>18144</v>
      </c>
      <c r="I91" s="104" t="str">
        <f t="shared" si="24"/>
        <v/>
      </c>
      <c r="K91" s="104"/>
      <c r="L91" s="104"/>
      <c r="M91" s="104"/>
      <c r="N91" s="104"/>
      <c r="O91" s="125">
        <f t="shared" si="27"/>
        <v>30.378032323177266</v>
      </c>
      <c r="P91" s="125">
        <f t="shared" si="28"/>
        <v>24.636935812770446</v>
      </c>
      <c r="Q91" s="125">
        <f t="shared" si="29"/>
        <v>29.236294756406288</v>
      </c>
      <c r="R91" s="125">
        <f t="shared" si="30"/>
        <v>23.973919496265282</v>
      </c>
      <c r="S91" s="125">
        <f t="shared" si="31"/>
        <v>26.787849436068257</v>
      </c>
      <c r="T91" s="125">
        <f t="shared" si="32"/>
        <v>25.950579959818345</v>
      </c>
      <c r="U91" s="125">
        <f t="shared" si="33"/>
        <v>23.900019722833854</v>
      </c>
      <c r="V91" s="118"/>
      <c r="W91" s="125">
        <f t="shared" si="34"/>
        <v>25.942903446309025</v>
      </c>
      <c r="X91" s="125">
        <f t="shared" si="34"/>
        <v>28.177831394428406</v>
      </c>
      <c r="AB91" s="126">
        <f t="shared" ref="AB91:AB122" si="37">1249*0.8*36/C91+4.8</f>
        <v>9.031905882352941</v>
      </c>
      <c r="AD91" s="125">
        <f t="shared" si="17"/>
        <v>0</v>
      </c>
    </row>
    <row r="92" spans="1:30" x14ac:dyDescent="0.35">
      <c r="A92" s="99">
        <v>27</v>
      </c>
      <c r="C92" s="118">
        <v>8600</v>
      </c>
      <c r="D92" s="122">
        <f t="shared" si="25"/>
        <v>0.35666666666666713</v>
      </c>
      <c r="E92" s="122">
        <f t="shared" si="22"/>
        <v>0.27799999999999991</v>
      </c>
      <c r="F92" s="123" t="str">
        <f t="shared" si="35"/>
        <v/>
      </c>
      <c r="G92" s="123" t="str">
        <f t="shared" si="36"/>
        <v/>
      </c>
      <c r="H92" s="104">
        <f t="shared" si="26"/>
        <v>18288</v>
      </c>
      <c r="I92" s="104" t="str">
        <f t="shared" si="24"/>
        <v/>
      </c>
      <c r="K92" s="104"/>
      <c r="L92" s="104"/>
      <c r="M92" s="104"/>
      <c r="N92" s="104"/>
      <c r="O92" s="125">
        <f t="shared" si="27"/>
        <v>30.120631434369649</v>
      </c>
      <c r="P92" s="125">
        <f t="shared" si="28"/>
        <v>24.433491944594728</v>
      </c>
      <c r="Q92" s="125">
        <f t="shared" si="29"/>
        <v>28.992729001094027</v>
      </c>
      <c r="R92" s="125">
        <f t="shared" si="30"/>
        <v>23.782992598640796</v>
      </c>
      <c r="S92" s="125">
        <f t="shared" si="31"/>
        <v>26.606695689094913</v>
      </c>
      <c r="T92" s="125">
        <f t="shared" si="32"/>
        <v>25.767673104247656</v>
      </c>
      <c r="U92" s="125">
        <f t="shared" si="33"/>
        <v>23.738418828567532</v>
      </c>
      <c r="V92" s="118"/>
      <c r="W92" s="125">
        <f t="shared" si="34"/>
        <v>25.760069407230418</v>
      </c>
      <c r="X92" s="125">
        <f t="shared" si="34"/>
        <v>27.975561342530838</v>
      </c>
      <c r="AB92" s="126">
        <f t="shared" si="37"/>
        <v>8.9826976744186062</v>
      </c>
      <c r="AD92" s="125">
        <f t="shared" si="17"/>
        <v>0</v>
      </c>
    </row>
    <row r="93" spans="1:30" x14ac:dyDescent="0.35">
      <c r="A93" s="99">
        <v>28</v>
      </c>
      <c r="C93" s="118">
        <v>8700</v>
      </c>
      <c r="D93" s="122">
        <f t="shared" si="25"/>
        <v>0.35500000000000048</v>
      </c>
      <c r="E93" s="122">
        <f t="shared" si="22"/>
        <v>0.27599999999999991</v>
      </c>
      <c r="F93" s="123" t="str">
        <f t="shared" si="35"/>
        <v/>
      </c>
      <c r="G93" s="123" t="str">
        <f t="shared" si="36"/>
        <v/>
      </c>
      <c r="H93" s="104">
        <f t="shared" si="26"/>
        <v>18432</v>
      </c>
      <c r="I93" s="104" t="str">
        <f t="shared" si="24"/>
        <v/>
      </c>
      <c r="K93" s="104"/>
      <c r="L93" s="104"/>
      <c r="M93" s="104"/>
      <c r="N93" s="104"/>
      <c r="O93" s="125">
        <f t="shared" si="27"/>
        <v>29.869147807373704</v>
      </c>
      <c r="P93" s="125">
        <f t="shared" si="28"/>
        <v>24.234724946951779</v>
      </c>
      <c r="Q93" s="125">
        <f t="shared" si="29"/>
        <v>28.754762458547567</v>
      </c>
      <c r="R93" s="125">
        <f t="shared" si="30"/>
        <v>23.596454825099634</v>
      </c>
      <c r="S93" s="125">
        <f t="shared" si="31"/>
        <v>26.429706396074977</v>
      </c>
      <c r="T93" s="125">
        <f t="shared" si="32"/>
        <v>25.588971003977445</v>
      </c>
      <c r="U93" s="125">
        <f t="shared" si="33"/>
        <v>23.580532897387794</v>
      </c>
      <c r="V93" s="118">
        <f>C93/3</f>
        <v>2900</v>
      </c>
      <c r="W93" s="125">
        <f t="shared" si="34"/>
        <v>25.581438449509939</v>
      </c>
      <c r="X93" s="125">
        <f t="shared" si="34"/>
        <v>27.777941176883786</v>
      </c>
      <c r="AB93" s="126">
        <f t="shared" si="37"/>
        <v>8.9346206896551728</v>
      </c>
      <c r="AD93" s="125">
        <f t="shared" si="17"/>
        <v>-12412.51272984915</v>
      </c>
    </row>
    <row r="94" spans="1:30" x14ac:dyDescent="0.35">
      <c r="A94" s="99">
        <v>29</v>
      </c>
      <c r="C94" s="118">
        <v>8800</v>
      </c>
      <c r="D94" s="122">
        <f t="shared" si="25"/>
        <v>0.35333333333333383</v>
      </c>
      <c r="E94" s="122">
        <f t="shared" si="22"/>
        <v>0.27399999999999991</v>
      </c>
      <c r="F94" s="123" t="str">
        <f t="shared" si="35"/>
        <v/>
      </c>
      <c r="G94" s="123" t="str">
        <f t="shared" si="36"/>
        <v/>
      </c>
      <c r="H94" s="104">
        <f t="shared" si="26"/>
        <v>18576</v>
      </c>
      <c r="I94" s="104" t="str">
        <f t="shared" si="24"/>
        <v/>
      </c>
      <c r="K94" s="104"/>
      <c r="L94" s="104"/>
      <c r="M94" s="104"/>
      <c r="N94" s="104"/>
      <c r="O94" s="125">
        <f t="shared" si="27"/>
        <v>29.62337971735494</v>
      </c>
      <c r="P94" s="125">
        <f t="shared" si="28"/>
        <v>24.040475381073446</v>
      </c>
      <c r="Q94" s="125">
        <f t="shared" si="29"/>
        <v>28.522204246513532</v>
      </c>
      <c r="R94" s="125">
        <f t="shared" si="30"/>
        <v>23.414156546411682</v>
      </c>
      <c r="S94" s="125">
        <f t="shared" si="31"/>
        <v>26.256739586987319</v>
      </c>
      <c r="T94" s="125">
        <f t="shared" si="32"/>
        <v>25.414330315077006</v>
      </c>
      <c r="U94" s="125">
        <f t="shared" si="33"/>
        <v>23.426235282825772</v>
      </c>
      <c r="V94" s="118"/>
      <c r="W94" s="125">
        <f t="shared" si="34"/>
        <v>25.406867286283109</v>
      </c>
      <c r="X94" s="125">
        <f t="shared" si="34"/>
        <v>27.584812378637803</v>
      </c>
      <c r="AB94" s="126">
        <f t="shared" si="37"/>
        <v>8.8876363636363642</v>
      </c>
      <c r="AD94" s="125">
        <f t="shared" si="17"/>
        <v>0</v>
      </c>
    </row>
    <row r="95" spans="1:30" x14ac:dyDescent="0.35">
      <c r="A95" s="99">
        <v>30</v>
      </c>
      <c r="C95" s="118">
        <v>8900</v>
      </c>
      <c r="D95" s="122">
        <f t="shared" si="25"/>
        <v>0.35166666666666718</v>
      </c>
      <c r="E95" s="122">
        <f t="shared" si="22"/>
        <v>0.27199999999999991</v>
      </c>
      <c r="F95" s="123" t="str">
        <f t="shared" si="35"/>
        <v/>
      </c>
      <c r="G95" s="123" t="str">
        <f t="shared" si="36"/>
        <v/>
      </c>
      <c r="H95" s="104">
        <f t="shared" si="26"/>
        <v>18720</v>
      </c>
      <c r="I95" s="104" t="str">
        <f t="shared" si="24"/>
        <v/>
      </c>
      <c r="K95" s="104"/>
      <c r="L95" s="104"/>
      <c r="M95" s="104"/>
      <c r="N95" s="104"/>
      <c r="O95" s="125">
        <f t="shared" si="27"/>
        <v>29.383134505763554</v>
      </c>
      <c r="P95" s="125">
        <f t="shared" si="28"/>
        <v>23.850590973978893</v>
      </c>
      <c r="Q95" s="125">
        <f t="shared" si="29"/>
        <v>28.294872061716212</v>
      </c>
      <c r="R95" s="125">
        <f t="shared" si="30"/>
        <v>23.235954858256051</v>
      </c>
      <c r="S95" s="125">
        <f t="shared" si="31"/>
        <v>26.087659672485891</v>
      </c>
      <c r="T95" s="125">
        <f t="shared" si="32"/>
        <v>25.243614136039508</v>
      </c>
      <c r="U95" s="125">
        <f t="shared" si="33"/>
        <v>23.275405030388747</v>
      </c>
      <c r="V95" s="118"/>
      <c r="W95" s="125">
        <f t="shared" si="34"/>
        <v>25.236219070544522</v>
      </c>
      <c r="X95" s="125">
        <f t="shared" si="34"/>
        <v>27.396023553386108</v>
      </c>
      <c r="AB95" s="126">
        <f t="shared" si="37"/>
        <v>8.8417078651685408</v>
      </c>
      <c r="AD95" s="125">
        <f t="shared" si="17"/>
        <v>0</v>
      </c>
    </row>
    <row r="96" spans="1:30" x14ac:dyDescent="0.35">
      <c r="A96" s="99">
        <v>31</v>
      </c>
      <c r="B96" s="99">
        <f>0.05/30</f>
        <v>1.6666666666666668E-3</v>
      </c>
      <c r="C96" s="118">
        <v>9000</v>
      </c>
      <c r="D96" s="122">
        <f t="shared" si="25"/>
        <v>0.35000000000000053</v>
      </c>
      <c r="E96" s="122">
        <f t="shared" si="22"/>
        <v>0.26999999999999991</v>
      </c>
      <c r="F96" s="123" t="str">
        <f t="shared" si="35"/>
        <v/>
      </c>
      <c r="G96" s="123" t="str">
        <f t="shared" si="36"/>
        <v/>
      </c>
      <c r="H96" s="104">
        <f t="shared" si="26"/>
        <v>18864</v>
      </c>
      <c r="I96" s="104" t="str">
        <f t="shared" si="24"/>
        <v/>
      </c>
      <c r="K96" s="104"/>
      <c r="L96" s="104"/>
      <c r="M96" s="104"/>
      <c r="N96" s="104"/>
      <c r="O96" s="125">
        <f t="shared" si="27"/>
        <v>29.148228076651986</v>
      </c>
      <c r="P96" s="125">
        <f t="shared" si="28"/>
        <v>23.664926220375339</v>
      </c>
      <c r="Q96" s="125">
        <f t="shared" si="29"/>
        <v>28.072591703247717</v>
      </c>
      <c r="R96" s="125">
        <f t="shared" si="30"/>
        <v>23.061713207614979</v>
      </c>
      <c r="S96" s="125">
        <f t="shared" si="31"/>
        <v>25.922337089417834</v>
      </c>
      <c r="T96" s="125">
        <f t="shared" si="32"/>
        <v>25.076691649869499</v>
      </c>
      <c r="U96" s="125">
        <f t="shared" si="33"/>
        <v>23.127926561339212</v>
      </c>
      <c r="V96" s="118">
        <f>C96/3</f>
        <v>3000</v>
      </c>
      <c r="W96" s="125">
        <f t="shared" ref="W96:X115" si="38">((36*PMT(0.04/12,36,-W$8*0.9,W$8*$D96*0.9))/$C96)+(W$17/$C96)+W$13</f>
        <v>25.069363037377901</v>
      </c>
      <c r="X96" s="125">
        <f t="shared" si="38"/>
        <v>27.211430035362238</v>
      </c>
      <c r="AB96" s="126">
        <f t="shared" si="37"/>
        <v>8.7968000000000011</v>
      </c>
      <c r="AD96" s="125">
        <f t="shared" si="17"/>
        <v>-12214.60928034746</v>
      </c>
    </row>
    <row r="97" spans="1:30" x14ac:dyDescent="0.35">
      <c r="A97" s="99">
        <v>32</v>
      </c>
      <c r="C97" s="118">
        <v>9100</v>
      </c>
      <c r="D97" s="122">
        <f t="shared" si="25"/>
        <v>0.34833333333333388</v>
      </c>
      <c r="E97" s="122">
        <f t="shared" si="22"/>
        <v>0.2679999999999999</v>
      </c>
      <c r="F97" s="123" t="str">
        <f t="shared" si="35"/>
        <v/>
      </c>
      <c r="G97" s="123" t="str">
        <f t="shared" si="36"/>
        <v/>
      </c>
      <c r="H97" s="104">
        <f t="shared" si="26"/>
        <v>19008</v>
      </c>
      <c r="I97" s="104" t="str">
        <f t="shared" si="24"/>
        <v/>
      </c>
      <c r="K97" s="104"/>
      <c r="L97" s="104"/>
      <c r="M97" s="104"/>
      <c r="N97" s="104"/>
      <c r="O97" s="125">
        <f t="shared" si="27"/>
        <v>28.918484426202205</v>
      </c>
      <c r="P97" s="125">
        <f t="shared" si="28"/>
        <v>23.483342010807011</v>
      </c>
      <c r="Q97" s="125">
        <f t="shared" si="29"/>
        <v>27.855196627382931</v>
      </c>
      <c r="R97" s="125">
        <f t="shared" si="30"/>
        <v>22.891301043801192</v>
      </c>
      <c r="S97" s="125">
        <f t="shared" si="31"/>
        <v>25.760647969713908</v>
      </c>
      <c r="T97" s="125">
        <f t="shared" si="32"/>
        <v>24.913437789769166</v>
      </c>
      <c r="U97" s="125">
        <f t="shared" si="33"/>
        <v>22.983689377323728</v>
      </c>
      <c r="V97" s="118"/>
      <c r="W97" s="125">
        <f t="shared" si="38"/>
        <v>24.90617416977538</v>
      </c>
      <c r="X97" s="125">
        <f t="shared" si="38"/>
        <v>27.030893517734494</v>
      </c>
      <c r="AB97" s="126">
        <f t="shared" si="37"/>
        <v>8.7528791208791219</v>
      </c>
      <c r="AD97" s="125">
        <f t="shared" si="17"/>
        <v>0</v>
      </c>
    </row>
    <row r="98" spans="1:30" x14ac:dyDescent="0.35">
      <c r="A98" s="99">
        <v>33</v>
      </c>
      <c r="C98" s="118">
        <v>9200</v>
      </c>
      <c r="D98" s="122">
        <f t="shared" si="25"/>
        <v>0.34666666666666723</v>
      </c>
      <c r="E98" s="122">
        <f t="shared" si="22"/>
        <v>0.2659999999999999</v>
      </c>
      <c r="F98" s="123" t="str">
        <f t="shared" si="35"/>
        <v/>
      </c>
      <c r="G98" s="123" t="str">
        <f t="shared" si="36"/>
        <v/>
      </c>
      <c r="H98" s="104">
        <f t="shared" si="26"/>
        <v>19152</v>
      </c>
      <c r="I98" s="104" t="str">
        <f t="shared" ref="I98:I129" si="39">IF($A$18=C98,H98,"")</f>
        <v/>
      </c>
      <c r="K98" s="104"/>
      <c r="L98" s="104"/>
      <c r="M98" s="104"/>
      <c r="N98" s="104"/>
      <c r="O98" s="125">
        <f t="shared" si="27"/>
        <v>28.693735202936125</v>
      </c>
      <c r="P98" s="125">
        <f t="shared" si="28"/>
        <v>23.305705284055403</v>
      </c>
      <c r="Q98" s="125">
        <f t="shared" si="29"/>
        <v>27.642527531428243</v>
      </c>
      <c r="R98" s="125">
        <f t="shared" si="30"/>
        <v>22.724593492244217</v>
      </c>
      <c r="S98" s="125">
        <f t="shared" si="31"/>
        <v>25.602473830873109</v>
      </c>
      <c r="T98" s="125">
        <f t="shared" si="32"/>
        <v>24.753732926627531</v>
      </c>
      <c r="U98" s="125">
        <f t="shared" si="33"/>
        <v>22.842587784265103</v>
      </c>
      <c r="V98" s="118"/>
      <c r="W98" s="125">
        <f t="shared" si="38"/>
        <v>24.746532886251178</v>
      </c>
      <c r="X98" s="125">
        <f t="shared" si="38"/>
        <v>26.854281707011701</v>
      </c>
      <c r="AB98" s="126">
        <f t="shared" si="37"/>
        <v>8.7099130434782612</v>
      </c>
      <c r="AD98" s="125">
        <f t="shared" si="17"/>
        <v>0</v>
      </c>
    </row>
    <row r="99" spans="1:30" x14ac:dyDescent="0.35">
      <c r="A99" s="99">
        <v>34</v>
      </c>
      <c r="C99" s="118">
        <v>9300</v>
      </c>
      <c r="D99" s="122">
        <f t="shared" ref="D99:D130" si="40">+D98-$B$96</f>
        <v>0.34500000000000058</v>
      </c>
      <c r="E99" s="122">
        <f t="shared" si="22"/>
        <v>0.2639999999999999</v>
      </c>
      <c r="F99" s="123" t="str">
        <f t="shared" si="35"/>
        <v/>
      </c>
      <c r="G99" s="123" t="str">
        <f t="shared" si="36"/>
        <v/>
      </c>
      <c r="H99" s="104">
        <f t="shared" si="26"/>
        <v>19296</v>
      </c>
      <c r="I99" s="104" t="str">
        <f t="shared" si="39"/>
        <v/>
      </c>
      <c r="K99" s="104"/>
      <c r="L99" s="104"/>
      <c r="M99" s="104"/>
      <c r="N99" s="104"/>
      <c r="O99" s="125">
        <f t="shared" si="27"/>
        <v>28.473819296299418</v>
      </c>
      <c r="P99" s="125">
        <f t="shared" si="28"/>
        <v>23.131888701965114</v>
      </c>
      <c r="Q99" s="125">
        <f t="shared" si="29"/>
        <v>27.434431964418827</v>
      </c>
      <c r="R99" s="125">
        <f t="shared" si="30"/>
        <v>22.561471049322883</v>
      </c>
      <c r="S99" s="125">
        <f t="shared" si="31"/>
        <v>25.447701286415985</v>
      </c>
      <c r="T99" s="125">
        <f t="shared" si="32"/>
        <v>24.597462576671742</v>
      </c>
      <c r="U99" s="125">
        <f t="shared" si="33"/>
        <v>22.704520634067958</v>
      </c>
      <c r="V99" s="118">
        <f>C99/3</f>
        <v>3100</v>
      </c>
      <c r="W99" s="125">
        <f t="shared" si="38"/>
        <v>24.590324748609216</v>
      </c>
      <c r="X99" s="125">
        <f t="shared" si="38"/>
        <v>26.681467999745308</v>
      </c>
      <c r="AB99" s="126">
        <f t="shared" si="37"/>
        <v>8.6678709677419352</v>
      </c>
      <c r="AD99" s="125">
        <f t="shared" si="17"/>
        <v>-12016.705830845796</v>
      </c>
    </row>
    <row r="100" spans="1:30" x14ac:dyDescent="0.35">
      <c r="A100" s="99">
        <v>35</v>
      </c>
      <c r="C100" s="118">
        <v>9400</v>
      </c>
      <c r="D100" s="122">
        <f t="shared" si="40"/>
        <v>0.34333333333333393</v>
      </c>
      <c r="E100" s="122">
        <f t="shared" si="22"/>
        <v>0.2619999999999999</v>
      </c>
      <c r="F100" s="123" t="str">
        <f t="shared" si="35"/>
        <v/>
      </c>
      <c r="G100" s="123" t="str">
        <f t="shared" si="36"/>
        <v/>
      </c>
      <c r="H100" s="104">
        <f t="shared" si="26"/>
        <v>19440</v>
      </c>
      <c r="I100" s="104" t="str">
        <f t="shared" si="39"/>
        <v/>
      </c>
      <c r="K100" s="104"/>
      <c r="L100" s="104"/>
      <c r="M100" s="104"/>
      <c r="N100" s="104"/>
      <c r="O100" s="125">
        <f t="shared" ref="O100:O131" si="41">((36*PMT(0.04/12,36,-$O$10*0.9,$O$8*$D100*0.9))/$C100)+(O$17/$C100)+O$13</f>
        <v>28.258582451506037</v>
      </c>
      <c r="P100" s="125">
        <f t="shared" ref="P100:P131" si="42">((36*PMT(0.04/12,36,-$P$10*0.9,$P$8*$D100*0.9))/$C100)+(P$17/$C100)+P$13</f>
        <v>22.961770345025677</v>
      </c>
      <c r="Q100" s="125">
        <f t="shared" ref="Q100:Q131" si="43">((36*PMT(0.04/12,36,-$Q$10*0.9,$Q$8*$D100*0.9))/$C100)+(Q$17/$C100)+Q$13</f>
        <v>27.230763962664923</v>
      </c>
      <c r="R100" s="125">
        <f t="shared" ref="R100:R131" si="44">((36*PMT(0.04/12,36,-$R$10*0.9,$R$8*$D100*0.9))/$C100)+(R$17/$C100)+R$13</f>
        <v>22.401819296676464</v>
      </c>
      <c r="S100" s="125">
        <f t="shared" ref="S100:S131" si="45">((36*PMT(0.04/12,36,-$S$10*0.9,$S$8*$D100*0.9))/$C100)+(S$17/$C100)+S$13+AB100</f>
        <v>25.296221774819653</v>
      </c>
      <c r="T100" s="125">
        <f t="shared" ref="T100:T131" si="46">((36*PMT(0.04/12,36,-$T$10*0.9,$T$10*$D100*0.9))/$C100)+(T$17/$C100)+T$13</f>
        <v>24.444517127778845</v>
      </c>
      <c r="U100" s="125">
        <f t="shared" ref="U100:U131" si="47">((36*PMT(0.04/12,36,-$U$10*0.9,$U$10*$D100*0.9))/$C100)+(U$17/$C100)+U$13</f>
        <v>22.569391082811173</v>
      </c>
      <c r="V100" s="118"/>
      <c r="W100" s="125">
        <f t="shared" si="38"/>
        <v>24.43744018836389</v>
      </c>
      <c r="X100" s="125">
        <f t="shared" si="38"/>
        <v>26.512331179867569</v>
      </c>
      <c r="AB100" s="126">
        <f t="shared" si="37"/>
        <v>8.6267234042553191</v>
      </c>
      <c r="AD100" s="125">
        <f t="shared" si="17"/>
        <v>0</v>
      </c>
    </row>
    <row r="101" spans="1:30" x14ac:dyDescent="0.35">
      <c r="A101" s="99">
        <v>36</v>
      </c>
      <c r="C101" s="118">
        <v>9500</v>
      </c>
      <c r="D101" s="122">
        <f t="shared" si="40"/>
        <v>0.34166666666666728</v>
      </c>
      <c r="E101" s="122">
        <f t="shared" si="22"/>
        <v>0.2599999999999999</v>
      </c>
      <c r="F101" s="123" t="str">
        <f t="shared" si="35"/>
        <v/>
      </c>
      <c r="G101" s="123" t="str">
        <f t="shared" si="36"/>
        <v/>
      </c>
      <c r="H101" s="104">
        <f t="shared" si="26"/>
        <v>19584</v>
      </c>
      <c r="I101" s="104" t="str">
        <f t="shared" si="39"/>
        <v/>
      </c>
      <c r="K101" s="104"/>
      <c r="L101" s="104"/>
      <c r="M101" s="104"/>
      <c r="N101" s="104"/>
      <c r="O101" s="125">
        <f t="shared" si="41"/>
        <v>28.047876908708322</v>
      </c>
      <c r="P101" s="125">
        <f t="shared" si="42"/>
        <v>22.795233427179713</v>
      </c>
      <c r="Q101" s="125">
        <f t="shared" si="43"/>
        <v>27.031383708316369</v>
      </c>
      <c r="R101" s="125">
        <f t="shared" si="44"/>
        <v>22.245528633559452</v>
      </c>
      <c r="S101" s="125">
        <f t="shared" si="45"/>
        <v>25.147931305572712</v>
      </c>
      <c r="T101" s="125">
        <f t="shared" si="46"/>
        <v>24.294791583073163</v>
      </c>
      <c r="U101" s="125">
        <f t="shared" si="47"/>
        <v>22.437106364212426</v>
      </c>
      <c r="V101" s="118"/>
      <c r="W101" s="125">
        <f t="shared" si="38"/>
        <v>24.287774250439515</v>
      </c>
      <c r="X101" s="125">
        <f t="shared" si="38"/>
        <v>26.346755135145145</v>
      </c>
      <c r="AB101" s="126">
        <f t="shared" si="37"/>
        <v>8.5864421052631581</v>
      </c>
      <c r="AD101" s="125">
        <f t="shared" ref="AD101:AD141" si="48">(T101-$O101)*V101</f>
        <v>0</v>
      </c>
    </row>
    <row r="102" spans="1:30" x14ac:dyDescent="0.35">
      <c r="A102" s="99">
        <v>37</v>
      </c>
      <c r="C102" s="118">
        <v>9600</v>
      </c>
      <c r="D102" s="122">
        <f t="shared" si="40"/>
        <v>0.34000000000000064</v>
      </c>
      <c r="E102" s="122">
        <f t="shared" si="22"/>
        <v>0.2579999999999999</v>
      </c>
      <c r="F102" s="123" t="str">
        <f t="shared" si="35"/>
        <v/>
      </c>
      <c r="G102" s="123" t="str">
        <f t="shared" si="36"/>
        <v/>
      </c>
      <c r="H102" s="104">
        <f t="shared" si="26"/>
        <v>19728</v>
      </c>
      <c r="I102" s="104" t="str">
        <f t="shared" si="39"/>
        <v/>
      </c>
      <c r="K102" s="104"/>
      <c r="L102" s="104"/>
      <c r="M102" s="104"/>
      <c r="N102" s="104"/>
      <c r="O102" s="125">
        <f t="shared" si="41"/>
        <v>27.841561064718878</v>
      </c>
      <c r="P102" s="125">
        <f t="shared" si="42"/>
        <v>22.632166028455533</v>
      </c>
      <c r="Q102" s="125">
        <f t="shared" si="43"/>
        <v>26.836157209266737</v>
      </c>
      <c r="R102" s="125">
        <f t="shared" si="44"/>
        <v>22.09249402592404</v>
      </c>
      <c r="S102" s="125">
        <f t="shared" si="45"/>
        <v>25.002730221101757</v>
      </c>
      <c r="T102" s="125">
        <f t="shared" si="46"/>
        <v>24.148185320548844</v>
      </c>
      <c r="U102" s="125">
        <f t="shared" si="47"/>
        <v>22.307577577251152</v>
      </c>
      <c r="V102" s="118">
        <f>C102/3</f>
        <v>3200</v>
      </c>
      <c r="W102" s="125">
        <f t="shared" si="38"/>
        <v>24.141226352888577</v>
      </c>
      <c r="X102" s="125">
        <f t="shared" si="38"/>
        <v>26.184628591354436</v>
      </c>
      <c r="AB102" s="126">
        <f t="shared" si="37"/>
        <v>8.5470000000000006</v>
      </c>
      <c r="AD102" s="125">
        <f t="shared" si="48"/>
        <v>-11818.802381344107</v>
      </c>
    </row>
    <row r="103" spans="1:30" x14ac:dyDescent="0.35">
      <c r="A103" s="99">
        <v>38</v>
      </c>
      <c r="C103" s="118">
        <v>9700</v>
      </c>
      <c r="D103" s="122">
        <f t="shared" si="40"/>
        <v>0.33833333333333399</v>
      </c>
      <c r="E103" s="122">
        <f t="shared" si="22"/>
        <v>0.25599999999999989</v>
      </c>
      <c r="F103" s="123" t="str">
        <f t="shared" si="35"/>
        <v/>
      </c>
      <c r="G103" s="123" t="str">
        <f t="shared" si="36"/>
        <v/>
      </c>
      <c r="H103" s="104">
        <f t="shared" si="26"/>
        <v>19872</v>
      </c>
      <c r="I103" s="104" t="str">
        <f t="shared" si="39"/>
        <v/>
      </c>
      <c r="K103" s="104"/>
      <c r="L103" s="104"/>
      <c r="M103" s="104"/>
      <c r="N103" s="104"/>
      <c r="O103" s="125">
        <f t="shared" si="41"/>
        <v>27.63949915565706</v>
      </c>
      <c r="P103" s="125">
        <f t="shared" si="42"/>
        <v>22.472460844138034</v>
      </c>
      <c r="Q103" s="125">
        <f t="shared" si="43"/>
        <v>26.644955998857313</v>
      </c>
      <c r="R103" s="125">
        <f t="shared" si="44"/>
        <v>21.942614771023379</v>
      </c>
      <c r="S103" s="125">
        <f t="shared" si="45"/>
        <v>24.860522973424011</v>
      </c>
      <c r="T103" s="125">
        <f t="shared" si="46"/>
        <v>24.004601867561121</v>
      </c>
      <c r="U103" s="125">
        <f t="shared" si="47"/>
        <v>22.180719486928254</v>
      </c>
      <c r="V103" s="118"/>
      <c r="W103" s="125">
        <f t="shared" si="38"/>
        <v>23.997700061472703</v>
      </c>
      <c r="X103" s="125">
        <f t="shared" si="38"/>
        <v>26.025844862899621</v>
      </c>
      <c r="AB103" s="126">
        <f t="shared" si="37"/>
        <v>8.508371134020619</v>
      </c>
      <c r="AD103" s="125">
        <f t="shared" si="48"/>
        <v>0</v>
      </c>
    </row>
    <row r="104" spans="1:30" x14ac:dyDescent="0.35">
      <c r="A104" s="99">
        <v>39</v>
      </c>
      <c r="C104" s="118">
        <v>9800</v>
      </c>
      <c r="D104" s="122">
        <f t="shared" si="40"/>
        <v>0.33666666666666734</v>
      </c>
      <c r="E104" s="122">
        <f t="shared" si="22"/>
        <v>0.25399999999999989</v>
      </c>
      <c r="F104" s="123" t="str">
        <f t="shared" si="35"/>
        <v/>
      </c>
      <c r="G104" s="123" t="str">
        <f t="shared" si="36"/>
        <v/>
      </c>
      <c r="H104" s="104">
        <f t="shared" si="26"/>
        <v>20016</v>
      </c>
      <c r="I104" s="104" t="str">
        <f t="shared" si="39"/>
        <v/>
      </c>
      <c r="K104" s="104"/>
      <c r="L104" s="104"/>
      <c r="M104" s="104"/>
      <c r="N104" s="104"/>
      <c r="O104" s="125">
        <f t="shared" si="41"/>
        <v>27.441560959025075</v>
      </c>
      <c r="P104" s="125">
        <f t="shared" si="42"/>
        <v>22.316014949296409</v>
      </c>
      <c r="Q104" s="125">
        <f t="shared" si="43"/>
        <v>26.457656853966441</v>
      </c>
      <c r="R104" s="125">
        <f t="shared" si="44"/>
        <v>21.795794276426811</v>
      </c>
      <c r="S104" s="125">
        <f t="shared" si="45"/>
        <v>24.721217914474387</v>
      </c>
      <c r="T104" s="125">
        <f t="shared" si="46"/>
        <v>23.863948689124161</v>
      </c>
      <c r="U104" s="125">
        <f t="shared" si="47"/>
        <v>22.056450337224199</v>
      </c>
      <c r="V104" s="118"/>
      <c r="W104" s="125">
        <f t="shared" si="38"/>
        <v>23.857102878044902</v>
      </c>
      <c r="X104" s="125">
        <f t="shared" si="38"/>
        <v>25.870301618698988</v>
      </c>
      <c r="AB104" s="126">
        <f t="shared" si="37"/>
        <v>8.4705306122448984</v>
      </c>
      <c r="AD104" s="125">
        <f t="shared" si="48"/>
        <v>0</v>
      </c>
    </row>
    <row r="105" spans="1:30" x14ac:dyDescent="0.35">
      <c r="A105" s="99">
        <v>40</v>
      </c>
      <c r="C105" s="118">
        <v>9900</v>
      </c>
      <c r="D105" s="122">
        <f t="shared" si="40"/>
        <v>0.33500000000000069</v>
      </c>
      <c r="E105" s="122">
        <f t="shared" si="22"/>
        <v>0.25199999999999989</v>
      </c>
      <c r="F105" s="123" t="str">
        <f t="shared" si="35"/>
        <v/>
      </c>
      <c r="G105" s="123" t="str">
        <f t="shared" si="36"/>
        <v/>
      </c>
      <c r="H105" s="104">
        <f t="shared" si="26"/>
        <v>20160</v>
      </c>
      <c r="I105" s="104" t="str">
        <f t="shared" si="39"/>
        <v/>
      </c>
      <c r="K105" s="104"/>
      <c r="L105" s="104"/>
      <c r="M105" s="104"/>
      <c r="N105" s="104"/>
      <c r="O105" s="125">
        <f t="shared" si="41"/>
        <v>27.247621513840198</v>
      </c>
      <c r="P105" s="125">
        <f t="shared" si="42"/>
        <v>22.162729577582894</v>
      </c>
      <c r="Q105" s="125">
        <f t="shared" si="43"/>
        <v>26.27414153018448</v>
      </c>
      <c r="R105" s="125">
        <f t="shared" si="44"/>
        <v>21.651939852428157</v>
      </c>
      <c r="S105" s="125">
        <f t="shared" si="45"/>
        <v>24.584727099139897</v>
      </c>
      <c r="T105" s="125">
        <f t="shared" si="46"/>
        <v>23.726136989039464</v>
      </c>
      <c r="U105" s="125">
        <f t="shared" si="47"/>
        <v>21.934691675392941</v>
      </c>
      <c r="V105" s="118">
        <f>C105/3</f>
        <v>3300</v>
      </c>
      <c r="W105" s="125">
        <f t="shared" si="38"/>
        <v>23.719346041757063</v>
      </c>
      <c r="X105" s="125">
        <f t="shared" si="38"/>
        <v>25.717900662259986</v>
      </c>
      <c r="AB105" s="126">
        <f t="shared" si="37"/>
        <v>8.4334545454545449</v>
      </c>
      <c r="AD105" s="125">
        <f t="shared" si="48"/>
        <v>-11620.898931842421</v>
      </c>
    </row>
    <row r="106" spans="1:30" x14ac:dyDescent="0.35">
      <c r="A106" s="99">
        <v>41</v>
      </c>
      <c r="C106" s="118">
        <v>10000</v>
      </c>
      <c r="D106" s="122">
        <f t="shared" si="40"/>
        <v>0.33333333333333404</v>
      </c>
      <c r="E106" s="122">
        <v>0.25</v>
      </c>
      <c r="F106" s="123" t="str">
        <f t="shared" si="35"/>
        <v/>
      </c>
      <c r="G106" s="123" t="str">
        <f t="shared" si="36"/>
        <v/>
      </c>
      <c r="H106" s="104">
        <f t="shared" si="26"/>
        <v>20304</v>
      </c>
      <c r="I106" s="104" t="str">
        <f t="shared" si="39"/>
        <v/>
      </c>
      <c r="K106" s="104"/>
      <c r="L106" s="104"/>
      <c r="M106" s="104"/>
      <c r="N106" s="104"/>
      <c r="O106" s="125">
        <f t="shared" si="41"/>
        <v>27.057560857559018</v>
      </c>
      <c r="P106" s="125">
        <f t="shared" si="42"/>
        <v>22.012509913303649</v>
      </c>
      <c r="Q106" s="125">
        <f t="shared" si="43"/>
        <v>26.094296512878152</v>
      </c>
      <c r="R106" s="125">
        <f t="shared" si="44"/>
        <v>21.510962516909473</v>
      </c>
      <c r="S106" s="125">
        <f t="shared" si="45"/>
        <v>24.450966100112108</v>
      </c>
      <c r="T106" s="125">
        <f t="shared" si="46"/>
        <v>23.591081522956461</v>
      </c>
      <c r="U106" s="125">
        <f t="shared" si="47"/>
        <v>21.815368186798324</v>
      </c>
      <c r="V106" s="118"/>
      <c r="W106" s="125">
        <f t="shared" si="38"/>
        <v>23.584344342194981</v>
      </c>
      <c r="X106" s="125">
        <f t="shared" si="38"/>
        <v>25.568547724949756</v>
      </c>
      <c r="AB106" s="126">
        <f t="shared" si="37"/>
        <v>8.397120000000001</v>
      </c>
      <c r="AD106" s="125">
        <f t="shared" si="48"/>
        <v>0</v>
      </c>
    </row>
    <row r="107" spans="1:30" x14ac:dyDescent="0.35">
      <c r="A107" s="99">
        <v>42</v>
      </c>
      <c r="C107" s="118">
        <v>10100</v>
      </c>
      <c r="D107" s="122">
        <f t="shared" si="40"/>
        <v>0.33166666666666739</v>
      </c>
      <c r="E107" s="122">
        <f>E106-0.001</f>
        <v>0.249</v>
      </c>
      <c r="F107" s="123" t="str">
        <f t="shared" si="35"/>
        <v/>
      </c>
      <c r="G107" s="123" t="str">
        <f t="shared" si="36"/>
        <v/>
      </c>
      <c r="H107" s="104">
        <f t="shared" si="26"/>
        <v>20448</v>
      </c>
      <c r="I107" s="104" t="str">
        <f t="shared" si="39"/>
        <v/>
      </c>
      <c r="K107" s="104"/>
      <c r="L107" s="104"/>
      <c r="M107" s="104"/>
      <c r="N107" s="104"/>
      <c r="O107" s="125">
        <f t="shared" si="41"/>
        <v>26.871263778629938</v>
      </c>
      <c r="P107" s="125">
        <f t="shared" si="42"/>
        <v>21.865264895841811</v>
      </c>
      <c r="Q107" s="125">
        <f t="shared" si="43"/>
        <v>25.918012783043245</v>
      </c>
      <c r="R107" s="125">
        <f t="shared" si="44"/>
        <v>21.372776811797102</v>
      </c>
      <c r="S107" s="125">
        <f t="shared" si="45"/>
        <v>24.319853833738328</v>
      </c>
      <c r="T107" s="125">
        <f t="shared" si="46"/>
        <v>23.458700422538467</v>
      </c>
      <c r="U107" s="125">
        <f t="shared" si="47"/>
        <v>21.698407539562005</v>
      </c>
      <c r="V107" s="118"/>
      <c r="W107" s="125">
        <f t="shared" si="38"/>
        <v>23.452015943614324</v>
      </c>
      <c r="X107" s="125">
        <f t="shared" si="38"/>
        <v>25.422152271546665</v>
      </c>
      <c r="AB107" s="126">
        <f t="shared" si="37"/>
        <v>8.3615049504950498</v>
      </c>
      <c r="AD107" s="125">
        <f t="shared" si="48"/>
        <v>0</v>
      </c>
    </row>
    <row r="108" spans="1:30" x14ac:dyDescent="0.35">
      <c r="A108" s="99">
        <v>43</v>
      </c>
      <c r="C108" s="118">
        <v>10200</v>
      </c>
      <c r="D108" s="122">
        <f t="shared" si="40"/>
        <v>0.33000000000000074</v>
      </c>
      <c r="E108" s="122">
        <f>E107-0.001</f>
        <v>0.248</v>
      </c>
      <c r="F108" s="123" t="str">
        <f t="shared" si="35"/>
        <v/>
      </c>
      <c r="G108" s="123" t="str">
        <f t="shared" si="36"/>
        <v/>
      </c>
      <c r="H108" s="104">
        <f t="shared" si="26"/>
        <v>20592</v>
      </c>
      <c r="I108" s="104" t="str">
        <f t="shared" si="39"/>
        <v/>
      </c>
      <c r="K108" s="104"/>
      <c r="L108" s="104"/>
      <c r="M108" s="104"/>
      <c r="N108" s="104"/>
      <c r="O108" s="125">
        <f t="shared" si="41"/>
        <v>26.688619583601437</v>
      </c>
      <c r="P108" s="125">
        <f t="shared" si="42"/>
        <v>21.720907035585117</v>
      </c>
      <c r="Q108" s="125">
        <f t="shared" si="43"/>
        <v>25.745185596930583</v>
      </c>
      <c r="R108" s="125">
        <f t="shared" si="44"/>
        <v>21.237300630314387</v>
      </c>
      <c r="S108" s="125">
        <f t="shared" si="45"/>
        <v>24.191312396116981</v>
      </c>
      <c r="T108" s="125">
        <f t="shared" si="46"/>
        <v>23.328915029971807</v>
      </c>
      <c r="U108" s="125">
        <f t="shared" si="47"/>
        <v>21.583740238349925</v>
      </c>
      <c r="V108" s="118">
        <f>C108/3</f>
        <v>3400</v>
      </c>
      <c r="W108" s="125">
        <f t="shared" si="38"/>
        <v>23.322282219515643</v>
      </c>
      <c r="X108" s="125">
        <f t="shared" si="38"/>
        <v>25.278627317229901</v>
      </c>
      <c r="AB108" s="126">
        <f t="shared" si="37"/>
        <v>8.3265882352941176</v>
      </c>
      <c r="AD108" s="125">
        <f t="shared" si="48"/>
        <v>-11422.995482340742</v>
      </c>
    </row>
    <row r="109" spans="1:30" x14ac:dyDescent="0.35">
      <c r="A109" s="99">
        <v>44</v>
      </c>
      <c r="C109" s="118">
        <v>10300</v>
      </c>
      <c r="D109" s="122">
        <f t="shared" si="40"/>
        <v>0.32833333333333409</v>
      </c>
      <c r="E109" s="122">
        <f t="shared" ref="E109:E156" si="49">E108-0.001</f>
        <v>0.247</v>
      </c>
      <c r="F109" s="123" t="str">
        <f t="shared" si="35"/>
        <v/>
      </c>
      <c r="G109" s="123" t="str">
        <f t="shared" si="36"/>
        <v/>
      </c>
      <c r="H109" s="104">
        <f t="shared" si="26"/>
        <v>20736</v>
      </c>
      <c r="I109" s="104" t="str">
        <f t="shared" si="39"/>
        <v/>
      </c>
      <c r="K109" s="104"/>
      <c r="L109" s="104"/>
      <c r="M109" s="104"/>
      <c r="N109" s="104"/>
      <c r="O109" s="125">
        <f t="shared" si="41"/>
        <v>26.509521877796786</v>
      </c>
      <c r="P109" s="125">
        <f t="shared" si="42"/>
        <v>21.579352240576117</v>
      </c>
      <c r="Q109" s="125">
        <f t="shared" si="43"/>
        <v>25.57571427850943</v>
      </c>
      <c r="R109" s="125">
        <f t="shared" si="44"/>
        <v>21.104455054297354</v>
      </c>
      <c r="S109" s="125">
        <f t="shared" si="45"/>
        <v>24.065266908740703</v>
      </c>
      <c r="T109" s="125">
        <f t="shared" si="46"/>
        <v>23.201649742115173</v>
      </c>
      <c r="U109" s="125">
        <f t="shared" si="47"/>
        <v>21.471299486675957</v>
      </c>
      <c r="V109" s="118"/>
      <c r="W109" s="125">
        <f t="shared" si="38"/>
        <v>23.195067596855768</v>
      </c>
      <c r="X109" s="125">
        <f t="shared" si="38"/>
        <v>25.137889255229979</v>
      </c>
      <c r="AB109" s="126">
        <f t="shared" si="37"/>
        <v>8.2923495145631065</v>
      </c>
      <c r="AD109" s="125">
        <f t="shared" si="48"/>
        <v>0</v>
      </c>
    </row>
    <row r="110" spans="1:30" x14ac:dyDescent="0.35">
      <c r="A110" s="99">
        <v>45</v>
      </c>
      <c r="C110" s="118">
        <v>10400</v>
      </c>
      <c r="D110" s="122">
        <f t="shared" si="40"/>
        <v>0.32666666666666744</v>
      </c>
      <c r="E110" s="122">
        <f t="shared" si="49"/>
        <v>0.246</v>
      </c>
      <c r="F110" s="123" t="str">
        <f t="shared" si="35"/>
        <v/>
      </c>
      <c r="G110" s="123" t="str">
        <f t="shared" si="36"/>
        <v/>
      </c>
      <c r="H110" s="104">
        <f t="shared" si="26"/>
        <v>20880</v>
      </c>
      <c r="I110" s="104" t="str">
        <f t="shared" si="39"/>
        <v/>
      </c>
      <c r="K110" s="104"/>
      <c r="L110" s="104"/>
      <c r="M110" s="104"/>
      <c r="N110" s="104"/>
      <c r="O110" s="125">
        <f t="shared" si="41"/>
        <v>26.333868358642224</v>
      </c>
      <c r="P110" s="125">
        <f t="shared" si="42"/>
        <v>21.440519653163449</v>
      </c>
      <c r="Q110" s="125">
        <f t="shared" si="43"/>
        <v>25.409502023904075</v>
      </c>
      <c r="R110" s="125">
        <f t="shared" si="44"/>
        <v>20.974164200896027</v>
      </c>
      <c r="S110" s="125">
        <f t="shared" si="45"/>
        <v>23.941645373044743</v>
      </c>
      <c r="T110" s="125">
        <f t="shared" si="46"/>
        <v>23.076831863640404</v>
      </c>
      <c r="U110" s="125">
        <f t="shared" si="47"/>
        <v>21.36102105714955</v>
      </c>
      <c r="V110" s="118"/>
      <c r="W110" s="125">
        <f t="shared" si="38"/>
        <v>23.070299409247045</v>
      </c>
      <c r="X110" s="125">
        <f t="shared" si="38"/>
        <v>24.99985769442236</v>
      </c>
      <c r="AB110" s="126">
        <f t="shared" si="37"/>
        <v>8.2587692307692304</v>
      </c>
      <c r="AD110" s="125">
        <f t="shared" si="48"/>
        <v>0</v>
      </c>
    </row>
    <row r="111" spans="1:30" x14ac:dyDescent="0.35">
      <c r="A111" s="99">
        <v>46</v>
      </c>
      <c r="C111" s="118">
        <v>10500</v>
      </c>
      <c r="D111" s="122">
        <f t="shared" si="40"/>
        <v>0.32500000000000079</v>
      </c>
      <c r="E111" s="122">
        <f t="shared" si="49"/>
        <v>0.245</v>
      </c>
      <c r="F111" s="123" t="str">
        <f t="shared" si="35"/>
        <v/>
      </c>
      <c r="G111" s="123" t="str">
        <f t="shared" si="36"/>
        <v/>
      </c>
      <c r="H111" s="104">
        <f t="shared" si="26"/>
        <v>21024</v>
      </c>
      <c r="I111" s="104" t="str">
        <f t="shared" si="39"/>
        <v/>
      </c>
      <c r="K111" s="104"/>
      <c r="L111" s="104"/>
      <c r="M111" s="104"/>
      <c r="N111" s="104"/>
      <c r="O111" s="125">
        <f t="shared" si="41"/>
        <v>26.161560620804888</v>
      </c>
      <c r="P111" s="125">
        <f t="shared" si="42"/>
        <v>21.30433149598721</v>
      </c>
      <c r="Q111" s="125">
        <f t="shared" si="43"/>
        <v>25.246455717005482</v>
      </c>
      <c r="R111" s="125">
        <f t="shared" si="44"/>
        <v>20.846355078035685</v>
      </c>
      <c r="S111" s="125">
        <f t="shared" si="45"/>
        <v>23.820378533266798</v>
      </c>
      <c r="T111" s="125">
        <f t="shared" si="46"/>
        <v>22.954391468565156</v>
      </c>
      <c r="U111" s="125">
        <f t="shared" si="47"/>
        <v>21.25284316913794</v>
      </c>
      <c r="V111" s="118">
        <f>C111/3</f>
        <v>3500</v>
      </c>
      <c r="W111" s="125">
        <f t="shared" si="38"/>
        <v>22.94790775854516</v>
      </c>
      <c r="X111" s="125">
        <f t="shared" si="38"/>
        <v>24.864455306201549</v>
      </c>
      <c r="AB111" s="126">
        <f t="shared" si="37"/>
        <v>8.2258285714285719</v>
      </c>
      <c r="AD111" s="125">
        <f t="shared" si="48"/>
        <v>-11225.092032839064</v>
      </c>
    </row>
    <row r="112" spans="1:30" x14ac:dyDescent="0.35">
      <c r="A112" s="99">
        <v>47</v>
      </c>
      <c r="C112" s="118">
        <v>10600</v>
      </c>
      <c r="D112" s="122">
        <f t="shared" si="40"/>
        <v>0.32333333333333414</v>
      </c>
      <c r="E112" s="122">
        <f t="shared" si="49"/>
        <v>0.24399999999999999</v>
      </c>
      <c r="F112" s="123" t="str">
        <f t="shared" si="35"/>
        <v/>
      </c>
      <c r="G112" s="123" t="str">
        <f t="shared" si="36"/>
        <v/>
      </c>
      <c r="H112" s="104">
        <f t="shared" si="26"/>
        <v>21168</v>
      </c>
      <c r="I112" s="104" t="str">
        <f t="shared" si="39"/>
        <v/>
      </c>
      <c r="K112" s="104"/>
      <c r="L112" s="104"/>
      <c r="M112" s="104"/>
      <c r="N112" s="104"/>
      <c r="O112" s="125">
        <f t="shared" si="41"/>
        <v>25.992503972360709</v>
      </c>
      <c r="P112" s="125">
        <f t="shared" si="42"/>
        <v>21.170712926682224</v>
      </c>
      <c r="Q112" s="125">
        <f t="shared" si="43"/>
        <v>25.086485755520073</v>
      </c>
      <c r="R112" s="125">
        <f t="shared" si="44"/>
        <v>20.720957448059501</v>
      </c>
      <c r="S112" s="125">
        <f t="shared" si="45"/>
        <v>23.701399747069569</v>
      </c>
      <c r="T112" s="125">
        <f t="shared" si="46"/>
        <v>22.834261269623401</v>
      </c>
      <c r="U112" s="125">
        <f t="shared" si="47"/>
        <v>21.146706373352963</v>
      </c>
      <c r="V112" s="118"/>
      <c r="W112" s="125">
        <f t="shared" si="38"/>
        <v>22.827825384271605</v>
      </c>
      <c r="X112" s="125">
        <f t="shared" si="38"/>
        <v>24.731607680022641</v>
      </c>
      <c r="AB112" s="126">
        <f t="shared" si="37"/>
        <v>8.1935094339622641</v>
      </c>
      <c r="AD112" s="125">
        <f t="shared" si="48"/>
        <v>0</v>
      </c>
    </row>
    <row r="113" spans="1:30" x14ac:dyDescent="0.35">
      <c r="A113" s="99">
        <v>48</v>
      </c>
      <c r="C113" s="118">
        <v>10700</v>
      </c>
      <c r="D113" s="122">
        <f t="shared" si="40"/>
        <v>0.32166666666666749</v>
      </c>
      <c r="E113" s="122">
        <f t="shared" si="49"/>
        <v>0.24299999999999999</v>
      </c>
      <c r="F113" s="123" t="str">
        <f t="shared" si="35"/>
        <v/>
      </c>
      <c r="G113" s="123" t="str">
        <f t="shared" si="36"/>
        <v/>
      </c>
      <c r="H113" s="104">
        <f t="shared" si="26"/>
        <v>21312</v>
      </c>
      <c r="I113" s="104" t="str">
        <f t="shared" si="39"/>
        <v/>
      </c>
      <c r="K113" s="104"/>
      <c r="L113" s="104"/>
      <c r="M113" s="104"/>
      <c r="N113" s="104"/>
      <c r="O113" s="125">
        <f t="shared" si="41"/>
        <v>25.826607261270631</v>
      </c>
      <c r="P113" s="125">
        <f t="shared" si="42"/>
        <v>21.039591900728734</v>
      </c>
      <c r="Q113" s="125">
        <f t="shared" si="43"/>
        <v>24.929505886772709</v>
      </c>
      <c r="R113" s="125">
        <f t="shared" si="44"/>
        <v>20.597903699017444</v>
      </c>
      <c r="S113" s="125">
        <f t="shared" si="45"/>
        <v>23.584644863418085</v>
      </c>
      <c r="T113" s="125">
        <f t="shared" si="46"/>
        <v>22.716376494960933</v>
      </c>
      <c r="U113" s="125">
        <f t="shared" si="47"/>
        <v>21.042553442909757</v>
      </c>
      <c r="V113" s="118"/>
      <c r="W113" s="125">
        <f t="shared" si="38"/>
        <v>22.709987540358309</v>
      </c>
      <c r="X113" s="125">
        <f t="shared" si="38"/>
        <v>24.601243187043341</v>
      </c>
      <c r="AB113" s="126">
        <f t="shared" si="37"/>
        <v>8.1617943925233654</v>
      </c>
      <c r="AD113" s="125">
        <f t="shared" si="48"/>
        <v>0</v>
      </c>
    </row>
    <row r="114" spans="1:30" x14ac:dyDescent="0.35">
      <c r="A114" s="99">
        <v>49</v>
      </c>
      <c r="C114" s="118">
        <v>10800</v>
      </c>
      <c r="D114" s="122">
        <f t="shared" si="40"/>
        <v>0.32000000000000084</v>
      </c>
      <c r="E114" s="122">
        <f t="shared" si="49"/>
        <v>0.24199999999999999</v>
      </c>
      <c r="F114" s="123" t="str">
        <f t="shared" si="35"/>
        <v/>
      </c>
      <c r="G114" s="123" t="str">
        <f t="shared" si="36"/>
        <v/>
      </c>
      <c r="H114" s="104">
        <f t="shared" si="26"/>
        <v>21456</v>
      </c>
      <c r="I114" s="104" t="str">
        <f t="shared" si="39"/>
        <v/>
      </c>
      <c r="K114" s="104"/>
      <c r="L114" s="104"/>
      <c r="M114" s="104"/>
      <c r="N114" s="104"/>
      <c r="O114" s="125">
        <f t="shared" si="41"/>
        <v>25.663782711497042</v>
      </c>
      <c r="P114" s="125">
        <f t="shared" si="42"/>
        <v>20.910899041922526</v>
      </c>
      <c r="Q114" s="125">
        <f t="shared" si="43"/>
        <v>24.775433052631776</v>
      </c>
      <c r="R114" s="125">
        <f t="shared" si="44"/>
        <v>20.477128723105807</v>
      </c>
      <c r="S114" s="125">
        <f t="shared" si="45"/>
        <v>23.470052107241621</v>
      </c>
      <c r="T114" s="125">
        <f t="shared" si="46"/>
        <v>22.600674771681099</v>
      </c>
      <c r="U114" s="125">
        <f t="shared" si="47"/>
        <v>20.940329270437729</v>
      </c>
      <c r="V114" s="118">
        <f>C114/3</f>
        <v>3600</v>
      </c>
      <c r="W114" s="125">
        <f t="shared" si="38"/>
        <v>22.594331878739702</v>
      </c>
      <c r="X114" s="125">
        <f t="shared" si="38"/>
        <v>24.473292851341434</v>
      </c>
      <c r="AB114" s="126">
        <f t="shared" si="37"/>
        <v>8.1306666666666665</v>
      </c>
      <c r="AD114" s="125">
        <f t="shared" si="48"/>
        <v>-11027.188583337394</v>
      </c>
    </row>
    <row r="115" spans="1:30" x14ac:dyDescent="0.35">
      <c r="A115" s="99">
        <v>50</v>
      </c>
      <c r="C115" s="118">
        <v>10900</v>
      </c>
      <c r="D115" s="122">
        <f t="shared" si="40"/>
        <v>0.31833333333333419</v>
      </c>
      <c r="E115" s="122">
        <f t="shared" si="49"/>
        <v>0.24099999999999999</v>
      </c>
      <c r="F115" s="123" t="str">
        <f t="shared" si="35"/>
        <v/>
      </c>
      <c r="G115" s="123" t="str">
        <f t="shared" si="36"/>
        <v/>
      </c>
      <c r="H115" s="104">
        <f t="shared" si="26"/>
        <v>21600</v>
      </c>
      <c r="I115" s="104" t="str">
        <f t="shared" si="39"/>
        <v/>
      </c>
      <c r="K115" s="104"/>
      <c r="L115" s="104"/>
      <c r="M115" s="104"/>
      <c r="N115" s="104"/>
      <c r="O115" s="125">
        <f t="shared" si="41"/>
        <v>25.503945768141307</v>
      </c>
      <c r="P115" s="125">
        <f t="shared" si="42"/>
        <v>20.784567519975152</v>
      </c>
      <c r="Q115" s="125">
        <f t="shared" si="43"/>
        <v>24.624187242970493</v>
      </c>
      <c r="R115" s="125">
        <f t="shared" si="44"/>
        <v>20.358569801798041</v>
      </c>
      <c r="S115" s="125">
        <f t="shared" si="45"/>
        <v>23.35756197044455</v>
      </c>
      <c r="T115" s="125">
        <f t="shared" si="46"/>
        <v>22.487096015800901</v>
      </c>
      <c r="U115" s="125">
        <f t="shared" si="47"/>
        <v>20.839980770855089</v>
      </c>
      <c r="V115" s="118"/>
      <c r="W115" s="125">
        <f t="shared" si="38"/>
        <v>22.480798339352631</v>
      </c>
      <c r="X115" s="125">
        <f t="shared" si="38"/>
        <v>24.347690228221214</v>
      </c>
      <c r="AB115" s="126">
        <f t="shared" si="37"/>
        <v>8.1001100917431188</v>
      </c>
      <c r="AD115" s="125">
        <f t="shared" si="48"/>
        <v>0</v>
      </c>
    </row>
    <row r="116" spans="1:30" x14ac:dyDescent="0.35">
      <c r="A116" s="99">
        <v>51</v>
      </c>
      <c r="C116" s="118">
        <v>11000</v>
      </c>
      <c r="D116" s="122">
        <f t="shared" si="40"/>
        <v>0.31666666666666754</v>
      </c>
      <c r="E116" s="122">
        <f t="shared" si="49"/>
        <v>0.24</v>
      </c>
      <c r="F116" s="123" t="str">
        <f t="shared" si="35"/>
        <v/>
      </c>
      <c r="G116" s="123" t="str">
        <f t="shared" si="36"/>
        <v/>
      </c>
      <c r="H116" s="104">
        <f t="shared" si="26"/>
        <v>21744</v>
      </c>
      <c r="I116" s="104" t="str">
        <f t="shared" si="39"/>
        <v/>
      </c>
      <c r="K116" s="104"/>
      <c r="L116" s="104"/>
      <c r="M116" s="104"/>
      <c r="N116" s="104"/>
      <c r="O116" s="125">
        <f t="shared" si="41"/>
        <v>25.347014951028406</v>
      </c>
      <c r="P116" s="125">
        <f t="shared" si="42"/>
        <v>20.660532934790449</v>
      </c>
      <c r="Q116" s="125">
        <f t="shared" si="43"/>
        <v>24.475691357121235</v>
      </c>
      <c r="R116" s="125">
        <f t="shared" si="44"/>
        <v>20.242166497241335</v>
      </c>
      <c r="S116" s="125">
        <f t="shared" si="45"/>
        <v>23.247117108861971</v>
      </c>
      <c r="T116" s="125">
        <f t="shared" si="46"/>
        <v>22.375582328209425</v>
      </c>
      <c r="U116" s="125">
        <f t="shared" si="47"/>
        <v>20.74145678944668</v>
      </c>
      <c r="V116" s="118"/>
      <c r="W116" s="125">
        <f t="shared" ref="W116:X135" si="50">((36*PMT(0.04/12,36,-W$8*0.9,W$8*$D116*0.9))/$C116)+(W$17/$C116)+W$13</f>
        <v>22.36932904613623</v>
      </c>
      <c r="X116" s="125">
        <f t="shared" si="50"/>
        <v>24.224371289157723</v>
      </c>
      <c r="AB116" s="126">
        <f t="shared" si="37"/>
        <v>8.0701090909090922</v>
      </c>
      <c r="AD116" s="125">
        <f t="shared" si="48"/>
        <v>0</v>
      </c>
    </row>
    <row r="117" spans="1:30" x14ac:dyDescent="0.35">
      <c r="A117" s="99">
        <v>52</v>
      </c>
      <c r="C117" s="118">
        <v>11100</v>
      </c>
      <c r="D117" s="122">
        <f t="shared" si="40"/>
        <v>0.31500000000000089</v>
      </c>
      <c r="E117" s="122">
        <f t="shared" si="49"/>
        <v>0.23899999999999999</v>
      </c>
      <c r="F117" s="123" t="str">
        <f t="shared" si="35"/>
        <v/>
      </c>
      <c r="G117" s="123" t="str">
        <f t="shared" si="36"/>
        <v/>
      </c>
      <c r="H117" s="104">
        <f t="shared" si="26"/>
        <v>21888</v>
      </c>
      <c r="I117" s="104" t="str">
        <f t="shared" si="39"/>
        <v/>
      </c>
      <c r="K117" s="104"/>
      <c r="L117" s="104"/>
      <c r="M117" s="104"/>
      <c r="N117" s="104"/>
      <c r="O117" s="125">
        <f t="shared" si="41"/>
        <v>25.192911716205831</v>
      </c>
      <c r="P117" s="125">
        <f t="shared" si="42"/>
        <v>20.538733206996469</v>
      </c>
      <c r="Q117" s="125">
        <f t="shared" si="43"/>
        <v>24.329871072818811</v>
      </c>
      <c r="R117" s="125">
        <f t="shared" si="44"/>
        <v>20.127860549523483</v>
      </c>
      <c r="S117" s="125">
        <f t="shared" si="45"/>
        <v>23.13866224478538</v>
      </c>
      <c r="T117" s="125">
        <f t="shared" si="46"/>
        <v>22.266077896250231</v>
      </c>
      <c r="U117" s="125">
        <f t="shared" si="47"/>
        <v>20.644708014910503</v>
      </c>
      <c r="V117" s="118">
        <f>C117/3</f>
        <v>3700</v>
      </c>
      <c r="W117" s="125">
        <f t="shared" si="50"/>
        <v>22.259868208653458</v>
      </c>
      <c r="X117" s="125">
        <f t="shared" si="50"/>
        <v>24.103274312960242</v>
      </c>
      <c r="AB117" s="126">
        <f t="shared" si="37"/>
        <v>8.0406486486486486</v>
      </c>
      <c r="AD117" s="125">
        <f t="shared" si="48"/>
        <v>-10829.285133835721</v>
      </c>
    </row>
    <row r="118" spans="1:30" x14ac:dyDescent="0.35">
      <c r="A118" s="99">
        <v>53</v>
      </c>
      <c r="C118" s="118">
        <v>11200</v>
      </c>
      <c r="D118" s="122">
        <f t="shared" si="40"/>
        <v>0.31333333333333424</v>
      </c>
      <c r="E118" s="122">
        <f t="shared" si="49"/>
        <v>0.23799999999999999</v>
      </c>
      <c r="F118" s="123" t="str">
        <f t="shared" si="35"/>
        <v/>
      </c>
      <c r="G118" s="123" t="str">
        <f t="shared" si="36"/>
        <v/>
      </c>
      <c r="H118" s="104">
        <f t="shared" si="26"/>
        <v>22032</v>
      </c>
      <c r="I118" s="104" t="str">
        <f t="shared" si="39"/>
        <v/>
      </c>
      <c r="K118" s="104"/>
      <c r="L118" s="104"/>
      <c r="M118" s="104"/>
      <c r="N118" s="104"/>
      <c r="O118" s="125">
        <f t="shared" si="41"/>
        <v>25.041560324862232</v>
      </c>
      <c r="P118" s="125">
        <f t="shared" si="42"/>
        <v>20.419108474341666</v>
      </c>
      <c r="Q118" s="125">
        <f t="shared" si="43"/>
        <v>24.186654722164647</v>
      </c>
      <c r="R118" s="125">
        <f t="shared" si="44"/>
        <v>20.015595779443451</v>
      </c>
      <c r="S118" s="125">
        <f t="shared" si="45"/>
        <v>23.03214407471016</v>
      </c>
      <c r="T118" s="125">
        <f t="shared" si="46"/>
        <v>22.158528900576027</v>
      </c>
      <c r="U118" s="125">
        <f t="shared" si="47"/>
        <v>20.549686897062461</v>
      </c>
      <c r="V118" s="118"/>
      <c r="W118" s="125">
        <f t="shared" si="50"/>
        <v>22.152362028982886</v>
      </c>
      <c r="X118" s="125">
        <f t="shared" si="50"/>
        <v>23.984339782766295</v>
      </c>
      <c r="AB118" s="126">
        <f t="shared" si="37"/>
        <v>8.0117142857142856</v>
      </c>
      <c r="AD118" s="125">
        <f t="shared" si="48"/>
        <v>0</v>
      </c>
    </row>
    <row r="119" spans="1:30" x14ac:dyDescent="0.35">
      <c r="A119" s="99">
        <v>54</v>
      </c>
      <c r="C119" s="118">
        <v>11300</v>
      </c>
      <c r="D119" s="122">
        <f t="shared" si="40"/>
        <v>0.31166666666666759</v>
      </c>
      <c r="E119" s="122">
        <f t="shared" si="49"/>
        <v>0.23699999999999999</v>
      </c>
      <c r="F119" s="123" t="str">
        <f t="shared" si="35"/>
        <v/>
      </c>
      <c r="G119" s="123" t="str">
        <f t="shared" si="36"/>
        <v/>
      </c>
      <c r="H119" s="104">
        <f t="shared" si="26"/>
        <v>22176</v>
      </c>
      <c r="I119" s="104" t="str">
        <f t="shared" si="39"/>
        <v/>
      </c>
      <c r="K119" s="104"/>
      <c r="L119" s="104"/>
      <c r="M119" s="104"/>
      <c r="N119" s="104"/>
      <c r="O119" s="125">
        <f t="shared" si="41"/>
        <v>24.892887719206129</v>
      </c>
      <c r="P119" s="125">
        <f t="shared" si="42"/>
        <v>20.301600993592256</v>
      </c>
      <c r="Q119" s="125">
        <f t="shared" si="43"/>
        <v>24.045973174176922</v>
      </c>
      <c r="R119" s="125">
        <f t="shared" si="44"/>
        <v>19.905317996444481</v>
      </c>
      <c r="S119" s="125">
        <f t="shared" si="45"/>
        <v>22.927511181981401</v>
      </c>
      <c r="T119" s="125">
        <f t="shared" si="46"/>
        <v>22.052883426949151</v>
      </c>
      <c r="U119" s="125">
        <f t="shared" si="47"/>
        <v>20.45634756891085</v>
      </c>
      <c r="V119" s="118"/>
      <c r="W119" s="125">
        <f t="shared" si="50"/>
        <v>22.046758613554257</v>
      </c>
      <c r="X119" s="125">
        <f t="shared" si="50"/>
        <v>23.867510288504974</v>
      </c>
      <c r="AB119" s="126">
        <f t="shared" si="37"/>
        <v>7.9832920353982306</v>
      </c>
      <c r="AD119" s="125">
        <f t="shared" si="48"/>
        <v>0</v>
      </c>
    </row>
    <row r="120" spans="1:30" x14ac:dyDescent="0.35">
      <c r="A120" s="99">
        <v>55</v>
      </c>
      <c r="C120" s="118">
        <v>11400</v>
      </c>
      <c r="D120" s="122">
        <f t="shared" si="40"/>
        <v>0.31000000000000094</v>
      </c>
      <c r="E120" s="122">
        <f t="shared" si="49"/>
        <v>0.23599999999999999</v>
      </c>
      <c r="F120" s="123" t="str">
        <f t="shared" si="35"/>
        <v/>
      </c>
      <c r="G120" s="123" t="str">
        <f t="shared" si="36"/>
        <v/>
      </c>
      <c r="H120" s="104">
        <f t="shared" si="26"/>
        <v>22320</v>
      </c>
      <c r="I120" s="104" t="str">
        <f t="shared" si="39"/>
        <v/>
      </c>
      <c r="K120" s="104"/>
      <c r="L120" s="104"/>
      <c r="M120" s="104"/>
      <c r="N120" s="104"/>
      <c r="O120" s="125">
        <f t="shared" si="41"/>
        <v>24.746823404877318</v>
      </c>
      <c r="P120" s="125">
        <f t="shared" si="42"/>
        <v>20.186155047592834</v>
      </c>
      <c r="Q120" s="125">
        <f t="shared" si="43"/>
        <v>23.907759723522318</v>
      </c>
      <c r="R120" s="125">
        <f t="shared" si="44"/>
        <v>19.796974911392866</v>
      </c>
      <c r="S120" s="125">
        <f t="shared" si="45"/>
        <v>22.82471395403736</v>
      </c>
      <c r="T120" s="125">
        <f t="shared" si="46"/>
        <v>21.949091382684152</v>
      </c>
      <c r="U120" s="125">
        <f t="shared" si="47"/>
        <v>20.364645772832073</v>
      </c>
      <c r="V120" s="118">
        <f>C120/3</f>
        <v>3800</v>
      </c>
      <c r="W120" s="125">
        <f t="shared" si="50"/>
        <v>21.943007889624386</v>
      </c>
      <c r="X120" s="125">
        <f t="shared" si="50"/>
        <v>23.752730434493856</v>
      </c>
      <c r="AB120" s="126">
        <f t="shared" si="37"/>
        <v>7.9553684210526319</v>
      </c>
      <c r="AD120" s="125">
        <f t="shared" si="48"/>
        <v>-10631.381684334032</v>
      </c>
    </row>
    <row r="121" spans="1:30" x14ac:dyDescent="0.35">
      <c r="A121" s="99">
        <v>56</v>
      </c>
      <c r="C121" s="118">
        <v>11500</v>
      </c>
      <c r="D121" s="122">
        <f t="shared" si="40"/>
        <v>0.30833333333333429</v>
      </c>
      <c r="E121" s="122">
        <f t="shared" si="49"/>
        <v>0.23499999999999999</v>
      </c>
      <c r="F121" s="123" t="str">
        <f t="shared" si="35"/>
        <v/>
      </c>
      <c r="G121" s="123" t="str">
        <f t="shared" si="36"/>
        <v/>
      </c>
      <c r="H121" s="104">
        <f t="shared" si="26"/>
        <v>22464</v>
      </c>
      <c r="I121" s="104" t="str">
        <f t="shared" si="39"/>
        <v/>
      </c>
      <c r="K121" s="104"/>
      <c r="L121" s="104"/>
      <c r="M121" s="104"/>
      <c r="N121" s="104"/>
      <c r="O121" s="125">
        <f t="shared" si="41"/>
        <v>24.603299339493358</v>
      </c>
      <c r="P121" s="125">
        <f t="shared" si="42"/>
        <v>20.072716857176019</v>
      </c>
      <c r="Q121" s="125">
        <f t="shared" si="43"/>
        <v>23.771949985053013</v>
      </c>
      <c r="R121" s="125">
        <f t="shared" si="44"/>
        <v>19.690516053907352</v>
      </c>
      <c r="S121" s="125">
        <f t="shared" si="45"/>
        <v>22.723704503970605</v>
      </c>
      <c r="T121" s="125">
        <f t="shared" si="46"/>
        <v>21.847104417449842</v>
      </c>
      <c r="U121" s="125">
        <f t="shared" si="47"/>
        <v>20.27453879059815</v>
      </c>
      <c r="V121" s="118"/>
      <c r="W121" s="125">
        <f t="shared" si="50"/>
        <v>21.841061526110686</v>
      </c>
      <c r="X121" s="125">
        <f t="shared" si="50"/>
        <v>23.63994675185684</v>
      </c>
      <c r="AB121" s="126">
        <f t="shared" si="37"/>
        <v>7.9279304347826089</v>
      </c>
      <c r="AD121" s="125">
        <f t="shared" si="48"/>
        <v>0</v>
      </c>
    </row>
    <row r="122" spans="1:30" x14ac:dyDescent="0.35">
      <c r="A122" s="99">
        <v>57</v>
      </c>
      <c r="C122" s="118">
        <v>11600</v>
      </c>
      <c r="D122" s="122">
        <f t="shared" si="40"/>
        <v>0.30666666666666764</v>
      </c>
      <c r="E122" s="122">
        <f t="shared" si="49"/>
        <v>0.23399999999999999</v>
      </c>
      <c r="F122" s="123" t="str">
        <f t="shared" si="35"/>
        <v/>
      </c>
      <c r="G122" s="123" t="str">
        <f t="shared" si="36"/>
        <v/>
      </c>
      <c r="H122" s="104">
        <f t="shared" si="26"/>
        <v>22607.999999999996</v>
      </c>
      <c r="I122" s="104" t="str">
        <f t="shared" si="39"/>
        <v/>
      </c>
      <c r="K122" s="104"/>
      <c r="L122" s="104"/>
      <c r="M122" s="104"/>
      <c r="N122" s="104"/>
      <c r="O122" s="125">
        <f t="shared" si="41"/>
        <v>24.462249826960846</v>
      </c>
      <c r="P122" s="125">
        <f t="shared" si="42"/>
        <v>19.961234497628453</v>
      </c>
      <c r="Q122" s="125">
        <f t="shared" si="43"/>
        <v>23.638481793798697</v>
      </c>
      <c r="R122" s="125">
        <f t="shared" si="44"/>
        <v>19.585892693964709</v>
      </c>
      <c r="S122" s="125">
        <f t="shared" si="45"/>
        <v>22.624436596146381</v>
      </c>
      <c r="T122" s="125">
        <f t="shared" si="46"/>
        <v>21.746875848167853</v>
      </c>
      <c r="U122" s="125">
        <f t="shared" si="47"/>
        <v>20.185985377023421</v>
      </c>
      <c r="V122" s="118"/>
      <c r="W122" s="125">
        <f t="shared" si="50"/>
        <v>21.740872858519634</v>
      </c>
      <c r="X122" s="125">
        <f t="shared" si="50"/>
        <v>23.529107615472192</v>
      </c>
      <c r="AB122" s="126">
        <f t="shared" si="37"/>
        <v>7.9009655172413797</v>
      </c>
      <c r="AD122" s="125">
        <f t="shared" si="48"/>
        <v>0</v>
      </c>
    </row>
    <row r="123" spans="1:30" x14ac:dyDescent="0.35">
      <c r="A123" s="99">
        <v>58</v>
      </c>
      <c r="C123" s="118">
        <v>11700</v>
      </c>
      <c r="D123" s="122">
        <f t="shared" si="40"/>
        <v>0.30500000000000099</v>
      </c>
      <c r="E123" s="122">
        <f t="shared" si="49"/>
        <v>0.23299999999999998</v>
      </c>
      <c r="F123" s="123" t="str">
        <f t="shared" si="35"/>
        <v/>
      </c>
      <c r="G123" s="123" t="str">
        <f t="shared" si="36"/>
        <v/>
      </c>
      <c r="H123" s="104">
        <f t="shared" si="26"/>
        <v>22752</v>
      </c>
      <c r="I123" s="104" t="str">
        <f t="shared" si="39"/>
        <v/>
      </c>
      <c r="K123" s="104"/>
      <c r="L123" s="104"/>
      <c r="M123" s="104"/>
      <c r="N123" s="104"/>
      <c r="O123" s="125">
        <f t="shared" si="41"/>
        <v>24.323611417206674</v>
      </c>
      <c r="P123" s="125">
        <f t="shared" si="42"/>
        <v>19.851657819440675</v>
      </c>
      <c r="Q123" s="125">
        <f t="shared" si="43"/>
        <v>23.507295110087185</v>
      </c>
      <c r="R123" s="125">
        <f t="shared" si="44"/>
        <v>19.483057767525345</v>
      </c>
      <c r="S123" s="125">
        <f t="shared" si="45"/>
        <v>22.526865575635391</v>
      </c>
      <c r="T123" s="125">
        <f t="shared" si="46"/>
        <v>21.648360587762483</v>
      </c>
      <c r="U123" s="125">
        <f t="shared" si="47"/>
        <v>20.098945697014081</v>
      </c>
      <c r="V123" s="118">
        <f>C123/3</f>
        <v>3900</v>
      </c>
      <c r="W123" s="125">
        <f t="shared" si="50"/>
        <v>21.642396817725011</v>
      </c>
      <c r="X123" s="125">
        <f t="shared" si="50"/>
        <v>23.420163165179588</v>
      </c>
      <c r="AB123" s="126">
        <f t="shared" ref="AB123:AB141" si="51">1249*0.8*36/C123+4.8</f>
        <v>7.8744615384615386</v>
      </c>
      <c r="AD123" s="125">
        <f t="shared" si="48"/>
        <v>-10433.478234832348</v>
      </c>
    </row>
    <row r="124" spans="1:30" x14ac:dyDescent="0.35">
      <c r="A124" s="99">
        <v>59</v>
      </c>
      <c r="C124" s="118">
        <v>11800</v>
      </c>
      <c r="D124" s="122">
        <f t="shared" si="40"/>
        <v>0.30333333333333434</v>
      </c>
      <c r="E124" s="122">
        <f t="shared" si="49"/>
        <v>0.23199999999999998</v>
      </c>
      <c r="F124" s="123" t="str">
        <f t="shared" si="35"/>
        <v/>
      </c>
      <c r="G124" s="123" t="str">
        <f t="shared" si="36"/>
        <v/>
      </c>
      <c r="H124" s="104">
        <f t="shared" si="26"/>
        <v>22895.999999999996</v>
      </c>
      <c r="I124" s="104" t="str">
        <f t="shared" si="39"/>
        <v/>
      </c>
      <c r="K124" s="104"/>
      <c r="L124" s="104"/>
      <c r="M124" s="104"/>
      <c r="N124" s="104"/>
      <c r="O124" s="125">
        <f t="shared" si="41"/>
        <v>24.187322811007657</v>
      </c>
      <c r="P124" s="125">
        <f t="shared" si="42"/>
        <v>19.743938373086589</v>
      </c>
      <c r="Q124" s="125">
        <f t="shared" si="43"/>
        <v>23.378331929489434</v>
      </c>
      <c r="R124" s="125">
        <f t="shared" si="44"/>
        <v>19.381965805940901</v>
      </c>
      <c r="S124" s="125">
        <f t="shared" si="45"/>
        <v>22.430948301234757</v>
      </c>
      <c r="T124" s="125">
        <f t="shared" si="46"/>
        <v>21.55151507753347</v>
      </c>
      <c r="U124" s="125">
        <f t="shared" si="47"/>
        <v>20.013381265818456</v>
      </c>
      <c r="V124" s="118"/>
      <c r="W124" s="125">
        <f t="shared" si="50"/>
        <v>21.545589862367585</v>
      </c>
      <c r="X124" s="125">
        <f t="shared" si="50"/>
        <v>23.313065230993637</v>
      </c>
      <c r="AB124" s="126">
        <f t="shared" si="51"/>
        <v>7.8484067796610173</v>
      </c>
      <c r="AD124" s="125">
        <f t="shared" si="48"/>
        <v>0</v>
      </c>
    </row>
    <row r="125" spans="1:30" x14ac:dyDescent="0.35">
      <c r="A125" s="99">
        <v>60</v>
      </c>
      <c r="C125" s="118">
        <v>11900</v>
      </c>
      <c r="D125" s="122">
        <f t="shared" si="40"/>
        <v>0.30166666666666769</v>
      </c>
      <c r="E125" s="122">
        <f t="shared" si="49"/>
        <v>0.23099999999999998</v>
      </c>
      <c r="F125" s="123" t="str">
        <f t="shared" si="35"/>
        <v/>
      </c>
      <c r="G125" s="123" t="str">
        <f t="shared" si="36"/>
        <v/>
      </c>
      <c r="H125" s="104">
        <f t="shared" si="26"/>
        <v>23040</v>
      </c>
      <c r="I125" s="104" t="str">
        <f t="shared" si="39"/>
        <v/>
      </c>
      <c r="K125" s="104"/>
      <c r="L125" s="104"/>
      <c r="M125" s="104"/>
      <c r="N125" s="104"/>
      <c r="O125" s="125">
        <f t="shared" si="41"/>
        <v>24.053324769618701</v>
      </c>
      <c r="P125" s="125">
        <f t="shared" si="42"/>
        <v>19.638029337595597</v>
      </c>
      <c r="Q125" s="125">
        <f t="shared" si="43"/>
        <v>23.251536197305086</v>
      </c>
      <c r="R125" s="125">
        <f t="shared" si="44"/>
        <v>19.282572868920887</v>
      </c>
      <c r="S125" s="125">
        <f t="shared" si="45"/>
        <v>22.336643081866065</v>
      </c>
      <c r="T125" s="125">
        <f t="shared" si="46"/>
        <v>21.456297222938559</v>
      </c>
      <c r="U125" s="125">
        <f t="shared" si="47"/>
        <v>19.929254892289983</v>
      </c>
      <c r="V125" s="118"/>
      <c r="W125" s="125">
        <f t="shared" si="50"/>
        <v>21.450409914663226</v>
      </c>
      <c r="X125" s="125">
        <f t="shared" si="50"/>
        <v>23.207767262088119</v>
      </c>
      <c r="AB125" s="126">
        <f t="shared" si="51"/>
        <v>7.8227899159663874</v>
      </c>
      <c r="AD125" s="125">
        <f t="shared" si="48"/>
        <v>0</v>
      </c>
    </row>
    <row r="126" spans="1:30" x14ac:dyDescent="0.35">
      <c r="A126" s="99">
        <v>61</v>
      </c>
      <c r="C126" s="118">
        <v>12000</v>
      </c>
      <c r="D126" s="122">
        <f t="shared" si="40"/>
        <v>0.30000000000000104</v>
      </c>
      <c r="E126" s="122">
        <f t="shared" si="49"/>
        <v>0.22999999999999998</v>
      </c>
      <c r="F126" s="123" t="str">
        <f t="shared" si="35"/>
        <v/>
      </c>
      <c r="G126" s="123" t="str">
        <f t="shared" si="36"/>
        <v/>
      </c>
      <c r="H126" s="104">
        <f t="shared" si="26"/>
        <v>23184</v>
      </c>
      <c r="I126" s="104" t="str">
        <f t="shared" si="39"/>
        <v/>
      </c>
      <c r="K126" s="104"/>
      <c r="L126" s="104"/>
      <c r="M126" s="104"/>
      <c r="N126" s="104"/>
      <c r="O126" s="125">
        <f t="shared" si="41"/>
        <v>23.921560028919565</v>
      </c>
      <c r="P126" s="125">
        <f t="shared" si="42"/>
        <v>19.533885452696115</v>
      </c>
      <c r="Q126" s="125">
        <f t="shared" si="43"/>
        <v>23.126853727323805</v>
      </c>
      <c r="R126" s="125">
        <f t="shared" si="44"/>
        <v>19.184836480851217</v>
      </c>
      <c r="S126" s="125">
        <f t="shared" si="45"/>
        <v>22.24390961615352</v>
      </c>
      <c r="T126" s="125">
        <f t="shared" si="46"/>
        <v>21.362666332586898</v>
      </c>
      <c r="U126" s="125">
        <f t="shared" si="47"/>
        <v>19.84653062498699</v>
      </c>
      <c r="V126" s="118">
        <f>C126/3</f>
        <v>4000</v>
      </c>
      <c r="W126" s="125">
        <f t="shared" si="50"/>
        <v>21.356816299420608</v>
      </c>
      <c r="X126" s="125">
        <f t="shared" si="50"/>
        <v>23.104224259331033</v>
      </c>
      <c r="AB126" s="126">
        <f t="shared" si="51"/>
        <v>7.7976000000000001</v>
      </c>
      <c r="AD126" s="125">
        <f t="shared" si="48"/>
        <v>-10235.574785330669</v>
      </c>
    </row>
    <row r="127" spans="1:30" x14ac:dyDescent="0.35">
      <c r="A127" s="99">
        <v>62</v>
      </c>
      <c r="C127" s="118">
        <v>12100</v>
      </c>
      <c r="D127" s="122">
        <f t="shared" si="40"/>
        <v>0.29833333333333439</v>
      </c>
      <c r="E127" s="122">
        <f t="shared" si="49"/>
        <v>0.22899999999999998</v>
      </c>
      <c r="F127" s="123" t="str">
        <f t="shared" si="35"/>
        <v/>
      </c>
      <c r="G127" s="123" t="str">
        <f t="shared" si="36"/>
        <v/>
      </c>
      <c r="H127" s="104">
        <f t="shared" si="26"/>
        <v>23328</v>
      </c>
      <c r="I127" s="104" t="str">
        <f t="shared" si="39"/>
        <v/>
      </c>
      <c r="K127" s="104"/>
      <c r="L127" s="104"/>
      <c r="M127" s="104"/>
      <c r="N127" s="104"/>
      <c r="O127" s="125">
        <f t="shared" si="41"/>
        <v>23.791973217818761</v>
      </c>
      <c r="P127" s="125">
        <f t="shared" si="42"/>
        <v>19.431462954323901</v>
      </c>
      <c r="Q127" s="125">
        <f t="shared" si="43"/>
        <v>23.004232124614951</v>
      </c>
      <c r="R127" s="125">
        <f t="shared" si="44"/>
        <v>19.088715570270296</v>
      </c>
      <c r="S127" s="125">
        <f t="shared" si="45"/>
        <v>22.152708934998206</v>
      </c>
      <c r="T127" s="125">
        <f t="shared" si="46"/>
        <v>21.270583060257579</v>
      </c>
      <c r="U127" s="125">
        <f t="shared" si="47"/>
        <v>19.765173700945198</v>
      </c>
      <c r="V127" s="118"/>
      <c r="W127" s="125">
        <f t="shared" si="50"/>
        <v>21.264769686082818</v>
      </c>
      <c r="X127" s="125">
        <f t="shared" si="50"/>
        <v>23.002392711164966</v>
      </c>
      <c r="AB127" s="126">
        <f t="shared" si="51"/>
        <v>7.772826446280992</v>
      </c>
      <c r="AD127" s="125">
        <f t="shared" si="48"/>
        <v>0</v>
      </c>
    </row>
    <row r="128" spans="1:30" x14ac:dyDescent="0.35">
      <c r="A128" s="99">
        <v>63</v>
      </c>
      <c r="C128" s="118">
        <v>12200</v>
      </c>
      <c r="D128" s="122">
        <f t="shared" si="40"/>
        <v>0.29666666666666774</v>
      </c>
      <c r="E128" s="122">
        <f t="shared" si="49"/>
        <v>0.22799999999999998</v>
      </c>
      <c r="F128" s="123" t="str">
        <f t="shared" si="35"/>
        <v/>
      </c>
      <c r="G128" s="123" t="str">
        <f t="shared" si="36"/>
        <v/>
      </c>
      <c r="H128" s="104">
        <f t="shared" si="26"/>
        <v>23472</v>
      </c>
      <c r="I128" s="104" t="str">
        <f t="shared" si="39"/>
        <v/>
      </c>
      <c r="K128" s="104"/>
      <c r="L128" s="104"/>
      <c r="M128" s="104"/>
      <c r="N128" s="104"/>
      <c r="O128" s="125">
        <f t="shared" si="41"/>
        <v>23.664510780670433</v>
      </c>
      <c r="P128" s="125">
        <f t="shared" si="42"/>
        <v>19.330719513302057</v>
      </c>
      <c r="Q128" s="125">
        <f t="shared" si="43"/>
        <v>22.883620712114443</v>
      </c>
      <c r="R128" s="125">
        <f t="shared" si="44"/>
        <v>18.99417041232185</v>
      </c>
      <c r="S128" s="125">
        <f t="shared" si="45"/>
        <v>22.063003346976586</v>
      </c>
      <c r="T128" s="125">
        <f t="shared" si="46"/>
        <v>21.180009349769719</v>
      </c>
      <c r="U128" s="125">
        <f t="shared" si="47"/>
        <v>19.685150496969666</v>
      </c>
      <c r="V128" s="118"/>
      <c r="W128" s="125">
        <f t="shared" si="50"/>
        <v>21.174232033619425</v>
      </c>
      <c r="X128" s="125">
        <f t="shared" si="50"/>
        <v>22.902230532640974</v>
      </c>
      <c r="AB128" s="126">
        <f t="shared" si="51"/>
        <v>7.7484590163934426</v>
      </c>
      <c r="AD128" s="125">
        <f t="shared" si="48"/>
        <v>0</v>
      </c>
    </row>
    <row r="129" spans="1:30" x14ac:dyDescent="0.35">
      <c r="A129" s="99">
        <v>64</v>
      </c>
      <c r="C129" s="118">
        <v>12300</v>
      </c>
      <c r="D129" s="122">
        <f t="shared" si="40"/>
        <v>0.29500000000000109</v>
      </c>
      <c r="E129" s="122">
        <f t="shared" si="49"/>
        <v>0.22699999999999998</v>
      </c>
      <c r="F129" s="123" t="str">
        <f t="shared" si="35"/>
        <v/>
      </c>
      <c r="G129" s="123" t="str">
        <f t="shared" si="36"/>
        <v/>
      </c>
      <c r="H129" s="104">
        <f t="shared" si="26"/>
        <v>23616</v>
      </c>
      <c r="I129" s="104" t="str">
        <f t="shared" si="39"/>
        <v/>
      </c>
      <c r="K129" s="104"/>
      <c r="L129" s="104"/>
      <c r="M129" s="104"/>
      <c r="N129" s="104"/>
      <c r="O129" s="125">
        <f t="shared" si="41"/>
        <v>23.53912090347573</v>
      </c>
      <c r="P129" s="125">
        <f t="shared" si="42"/>
        <v>19.231614177012275</v>
      </c>
      <c r="Q129" s="125">
        <f t="shared" si="43"/>
        <v>22.764970460792789</v>
      </c>
      <c r="R129" s="125">
        <f t="shared" si="44"/>
        <v>18.901162574014847</v>
      </c>
      <c r="S129" s="125">
        <f t="shared" si="45"/>
        <v>21.974756386402476</v>
      </c>
      <c r="T129" s="125">
        <f t="shared" si="46"/>
        <v>21.09090838254183</v>
      </c>
      <c r="U129" s="125">
        <f t="shared" si="47"/>
        <v>19.606428483302679</v>
      </c>
      <c r="V129" s="118">
        <f>C129/3</f>
        <v>4100</v>
      </c>
      <c r="W129" s="125">
        <f t="shared" si="50"/>
        <v>21.085166538106655</v>
      </c>
      <c r="X129" s="125">
        <f t="shared" si="50"/>
        <v>22.803697007426308</v>
      </c>
      <c r="AB129" s="126">
        <f t="shared" si="51"/>
        <v>7.7244878048780485</v>
      </c>
      <c r="AD129" s="125">
        <f t="shared" si="48"/>
        <v>-10037.671335828991</v>
      </c>
    </row>
    <row r="130" spans="1:30" x14ac:dyDescent="0.35">
      <c r="A130" s="99">
        <v>65</v>
      </c>
      <c r="C130" s="118">
        <v>12400</v>
      </c>
      <c r="D130" s="122">
        <f t="shared" si="40"/>
        <v>0.29333333333333445</v>
      </c>
      <c r="E130" s="122">
        <f t="shared" si="49"/>
        <v>0.22599999999999998</v>
      </c>
      <c r="F130" s="123" t="str">
        <f t="shared" si="35"/>
        <v/>
      </c>
      <c r="G130" s="123" t="str">
        <f t="shared" si="36"/>
        <v/>
      </c>
      <c r="H130" s="104">
        <f t="shared" si="26"/>
        <v>23760</v>
      </c>
      <c r="I130" s="104" t="str">
        <f t="shared" ref="I130:I156" si="52">IF($A$18=C130,H130,"")</f>
        <v/>
      </c>
      <c r="K130" s="104"/>
      <c r="L130" s="104"/>
      <c r="M130" s="104"/>
      <c r="N130" s="104"/>
      <c r="O130" s="125">
        <f t="shared" si="41"/>
        <v>23.415753443655138</v>
      </c>
      <c r="P130" s="125">
        <f t="shared" si="42"/>
        <v>19.13410731388845</v>
      </c>
      <c r="Q130" s="125">
        <f t="shared" si="43"/>
        <v>22.648233923202142</v>
      </c>
      <c r="R130" s="125">
        <f t="shared" si="44"/>
        <v>18.809654862132142</v>
      </c>
      <c r="S130" s="125">
        <f t="shared" si="45"/>
        <v>21.887932763902135</v>
      </c>
      <c r="T130" s="125">
        <f t="shared" si="46"/>
        <v>21.00324452768858</v>
      </c>
      <c r="U130" s="125">
        <f t="shared" si="47"/>
        <v>19.528976179533551</v>
      </c>
      <c r="V130" s="118"/>
      <c r="W130" s="125">
        <f t="shared" si="50"/>
        <v>20.997537582844089</v>
      </c>
      <c r="X130" s="125">
        <f t="shared" si="50"/>
        <v>22.706752732618337</v>
      </c>
      <c r="AB130" s="126">
        <f t="shared" si="51"/>
        <v>7.7009032258064511</v>
      </c>
      <c r="AD130" s="125">
        <f t="shared" si="48"/>
        <v>0</v>
      </c>
    </row>
    <row r="131" spans="1:30" x14ac:dyDescent="0.35">
      <c r="A131" s="99">
        <v>66</v>
      </c>
      <c r="C131" s="118">
        <v>12500</v>
      </c>
      <c r="D131" s="122">
        <f t="shared" ref="D131:D140" si="53">+D130-$B$96</f>
        <v>0.2916666666666678</v>
      </c>
      <c r="E131" s="122">
        <f t="shared" si="49"/>
        <v>0.22499999999999998</v>
      </c>
      <c r="F131" s="123" t="str">
        <f t="shared" si="35"/>
        <v/>
      </c>
      <c r="G131" s="123" t="str">
        <f t="shared" si="36"/>
        <v/>
      </c>
      <c r="H131" s="104">
        <f t="shared" si="26"/>
        <v>23904.000000000004</v>
      </c>
      <c r="I131" s="104" t="str">
        <f t="shared" si="52"/>
        <v/>
      </c>
      <c r="K131" s="104"/>
      <c r="L131" s="104"/>
      <c r="M131" s="104"/>
      <c r="N131" s="104"/>
      <c r="O131" s="125">
        <f t="shared" si="41"/>
        <v>23.294359863191669</v>
      </c>
      <c r="P131" s="125">
        <f t="shared" si="42"/>
        <v>19.03816056057461</v>
      </c>
      <c r="Q131" s="125">
        <f t="shared" si="43"/>
        <v>22.533365170212939</v>
      </c>
      <c r="R131" s="125">
        <f t="shared" si="44"/>
        <v>18.719611273639565</v>
      </c>
      <c r="S131" s="125">
        <f t="shared" si="45"/>
        <v>21.802498319361803</v>
      </c>
      <c r="T131" s="125">
        <f t="shared" si="46"/>
        <v>20.916983294512985</v>
      </c>
      <c r="U131" s="125">
        <f t="shared" si="47"/>
        <v>19.452763112624716</v>
      </c>
      <c r="V131" s="118"/>
      <c r="W131" s="125">
        <f t="shared" si="50"/>
        <v>20.911310690865729</v>
      </c>
      <c r="X131" s="125">
        <f t="shared" si="50"/>
        <v>22.611359566207284</v>
      </c>
      <c r="AB131" s="126">
        <f t="shared" si="51"/>
        <v>7.6776960000000001</v>
      </c>
      <c r="AD131" s="125">
        <f t="shared" si="48"/>
        <v>0</v>
      </c>
    </row>
    <row r="132" spans="1:30" x14ac:dyDescent="0.35">
      <c r="A132" s="99">
        <v>67</v>
      </c>
      <c r="C132" s="118">
        <v>12600</v>
      </c>
      <c r="D132" s="122">
        <f t="shared" si="53"/>
        <v>0.29000000000000115</v>
      </c>
      <c r="E132" s="122">
        <f t="shared" si="49"/>
        <v>0.22399999999999998</v>
      </c>
      <c r="F132" s="123" t="str">
        <f t="shared" si="35"/>
        <v/>
      </c>
      <c r="G132" s="123" t="str">
        <f t="shared" si="36"/>
        <v/>
      </c>
      <c r="H132" s="104">
        <f t="shared" ref="H132:H156" si="54">400*36*(1+A132/100)</f>
        <v>24048</v>
      </c>
      <c r="I132" s="104" t="str">
        <f t="shared" si="52"/>
        <v/>
      </c>
      <c r="K132" s="104"/>
      <c r="L132" s="104"/>
      <c r="M132" s="104"/>
      <c r="N132" s="104"/>
      <c r="O132" s="125">
        <f t="shared" ref="O132:O141" si="55">((36*PMT(0.04/12,36,-$O$10*0.9,$O$8*$D132*0.9))/$C132)+(O$17/$C132)+O$13</f>
        <v>23.174893164957791</v>
      </c>
      <c r="P132" s="125">
        <f t="shared" ref="P132:P141" si="56">((36*PMT(0.04/12,36,-$P$10*0.9,$P$8*$D132*0.9))/$C132)+(P$17/$C132)+P$13</f>
        <v>18.943736771599088</v>
      </c>
      <c r="Q132" s="125">
        <f t="shared" ref="Q132:Q141" si="57">((36*PMT(0.04/12,36,-$Q$10*0.9,$Q$8*$D132*0.9))/$C132)+(Q$17/$C132)+Q$13</f>
        <v>22.420319730763254</v>
      </c>
      <c r="R132" s="125">
        <f t="shared" ref="R132:R141" si="58">((36*PMT(0.04/12,36,-$R$10*0.9,$R$8*$D132*0.9))/$C132)+(R$17/$C132)+R$13</f>
        <v>18.630996948456392</v>
      </c>
      <c r="S132" s="125">
        <f t="shared" ref="S132:S141" si="59">((36*PMT(0.04/12,36,-$S$10*0.9,$S$8*$D132*0.9))/$C132)+(S$17/$C132)+S$13+AB132</f>
        <v>21.718419977115762</v>
      </c>
      <c r="T132" s="125">
        <f t="shared" ref="T132:T141" si="60">((36*PMT(0.04/12,36,-$T$10*0.9,$T$10*$D132*0.9))/$C132)+(T$17/$C132)+T$13</f>
        <v>20.832091287260813</v>
      </c>
      <c r="U132" s="125">
        <f t="shared" ref="U132:U141" si="61">((36*PMT(0.04/12,36,-$U$10*0.9,$U$10*$D132*0.9))/$C132)+(U$17/$C132)+U$13</f>
        <v>19.377759776936671</v>
      </c>
      <c r="V132" s="118">
        <f>C132/3</f>
        <v>4200</v>
      </c>
      <c r="W132" s="125">
        <f t="shared" si="50"/>
        <v>20.826452479712419</v>
      </c>
      <c r="X132" s="125">
        <f t="shared" si="50"/>
        <v>22.517480577040857</v>
      </c>
      <c r="AB132" s="126">
        <f t="shared" si="51"/>
        <v>7.6548571428571428</v>
      </c>
      <c r="AD132" s="125">
        <f t="shared" si="48"/>
        <v>-9839.7678863273068</v>
      </c>
    </row>
    <row r="133" spans="1:30" x14ac:dyDescent="0.35">
      <c r="A133" s="99">
        <v>68</v>
      </c>
      <c r="C133" s="118">
        <v>12700</v>
      </c>
      <c r="D133" s="122">
        <f t="shared" si="53"/>
        <v>0.2883333333333345</v>
      </c>
      <c r="E133" s="122">
        <f t="shared" si="49"/>
        <v>0.22299999999999998</v>
      </c>
      <c r="F133" s="123" t="str">
        <f t="shared" si="35"/>
        <v/>
      </c>
      <c r="G133" s="123" t="str">
        <f t="shared" si="36"/>
        <v/>
      </c>
      <c r="H133" s="104">
        <f t="shared" si="54"/>
        <v>24192.000000000004</v>
      </c>
      <c r="I133" s="104" t="str">
        <f t="shared" si="52"/>
        <v/>
      </c>
      <c r="K133" s="104"/>
      <c r="L133" s="104"/>
      <c r="M133" s="104"/>
      <c r="N133" s="104"/>
      <c r="O133" s="125">
        <f t="shared" si="55"/>
        <v>23.057307832050423</v>
      </c>
      <c r="P133" s="125">
        <f t="shared" si="56"/>
        <v>18.850799971426326</v>
      </c>
      <c r="Q133" s="125">
        <f t="shared" si="57"/>
        <v>22.309054534454503</v>
      </c>
      <c r="R133" s="125">
        <f t="shared" si="58"/>
        <v>18.543778124457205</v>
      </c>
      <c r="S133" s="125">
        <f t="shared" si="59"/>
        <v>21.635665703251547</v>
      </c>
      <c r="T133" s="125">
        <f t="shared" si="60"/>
        <v>20.748536162012609</v>
      </c>
      <c r="U133" s="125">
        <f t="shared" si="61"/>
        <v>19.303937596141346</v>
      </c>
      <c r="V133" s="118"/>
      <c r="W133" s="125">
        <f t="shared" si="50"/>
        <v>20.742930618341052</v>
      </c>
      <c r="X133" s="125">
        <f t="shared" si="50"/>
        <v>22.425079997152643</v>
      </c>
      <c r="AB133" s="126">
        <f t="shared" si="51"/>
        <v>7.6323779527559061</v>
      </c>
      <c r="AD133" s="125">
        <f t="shared" si="48"/>
        <v>0</v>
      </c>
    </row>
    <row r="134" spans="1:30" x14ac:dyDescent="0.35">
      <c r="A134" s="99">
        <v>69</v>
      </c>
      <c r="C134" s="118">
        <v>12800</v>
      </c>
      <c r="D134" s="122">
        <f t="shared" si="53"/>
        <v>0.28666666666666785</v>
      </c>
      <c r="E134" s="122">
        <f t="shared" si="49"/>
        <v>0.22199999999999998</v>
      </c>
      <c r="F134" s="123" t="str">
        <f t="shared" si="35"/>
        <v/>
      </c>
      <c r="G134" s="123" t="str">
        <f t="shared" si="36"/>
        <v/>
      </c>
      <c r="H134" s="104">
        <f t="shared" si="54"/>
        <v>24336</v>
      </c>
      <c r="I134" s="104" t="str">
        <f t="shared" si="52"/>
        <v/>
      </c>
      <c r="K134" s="104"/>
      <c r="L134" s="104"/>
      <c r="M134" s="104"/>
      <c r="N134" s="104"/>
      <c r="O134" s="125">
        <f t="shared" si="55"/>
        <v>22.941559769969739</v>
      </c>
      <c r="P134" s="125">
        <f t="shared" si="56"/>
        <v>18.759315308756268</v>
      </c>
      <c r="Q134" s="125">
        <f t="shared" si="57"/>
        <v>22.199527856838081</v>
      </c>
      <c r="R134" s="125">
        <f t="shared" si="58"/>
        <v>18.457922094583012</v>
      </c>
      <c r="S134" s="125">
        <f t="shared" si="59"/>
        <v>21.554204464916463</v>
      </c>
      <c r="T134" s="125">
        <f t="shared" si="60"/>
        <v>20.66628658559641</v>
      </c>
      <c r="U134" s="125">
        <f t="shared" si="61"/>
        <v>19.231268886920944</v>
      </c>
      <c r="V134" s="118"/>
      <c r="W134" s="125">
        <f t="shared" si="50"/>
        <v>20.660713786053609</v>
      </c>
      <c r="X134" s="125">
        <f t="shared" si="50"/>
        <v>22.334123176325178</v>
      </c>
      <c r="AB134" s="126">
        <f t="shared" si="51"/>
        <v>7.6102500000000006</v>
      </c>
      <c r="AD134" s="125">
        <f t="shared" si="48"/>
        <v>0</v>
      </c>
    </row>
    <row r="135" spans="1:30" x14ac:dyDescent="0.35">
      <c r="A135" s="99">
        <v>70</v>
      </c>
      <c r="C135" s="118">
        <v>12900</v>
      </c>
      <c r="D135" s="122">
        <f t="shared" si="53"/>
        <v>0.2850000000000012</v>
      </c>
      <c r="E135" s="122">
        <f t="shared" si="49"/>
        <v>0.22099999999999997</v>
      </c>
      <c r="F135" s="123" t="str">
        <f t="shared" si="35"/>
        <v/>
      </c>
      <c r="G135" s="123" t="str">
        <f t="shared" si="36"/>
        <v/>
      </c>
      <c r="H135" s="104">
        <f t="shared" si="54"/>
        <v>24480</v>
      </c>
      <c r="I135" s="104" t="str">
        <f t="shared" si="52"/>
        <v/>
      </c>
      <c r="K135" s="104"/>
      <c r="L135" s="104"/>
      <c r="M135" s="104"/>
      <c r="N135" s="104"/>
      <c r="O135" s="125">
        <f t="shared" si="55"/>
        <v>22.827606251487197</v>
      </c>
      <c r="P135" s="125">
        <f t="shared" si="56"/>
        <v>18.669249012949305</v>
      </c>
      <c r="Q135" s="125">
        <f t="shared" si="57"/>
        <v>22.09169926724671</v>
      </c>
      <c r="R135" s="125">
        <f t="shared" si="58"/>
        <v>18.373397165947175</v>
      </c>
      <c r="S135" s="125">
        <f t="shared" si="59"/>
        <v>21.474006191516807</v>
      </c>
      <c r="T135" s="125">
        <f t="shared" si="60"/>
        <v>20.585312196411468</v>
      </c>
      <c r="U135" s="125">
        <f t="shared" si="61"/>
        <v>19.159726824355133</v>
      </c>
      <c r="V135" s="118">
        <f>C135/3</f>
        <v>4300</v>
      </c>
      <c r="W135" s="125">
        <f t="shared" si="50"/>
        <v>20.57977163333652</v>
      </c>
      <c r="X135" s="125">
        <f t="shared" si="50"/>
        <v>22.244576538766363</v>
      </c>
      <c r="AB135" s="126">
        <f t="shared" si="51"/>
        <v>7.5884651162790693</v>
      </c>
      <c r="AD135" s="125">
        <f t="shared" si="48"/>
        <v>-9641.8644368256319</v>
      </c>
    </row>
    <row r="136" spans="1:30" x14ac:dyDescent="0.35">
      <c r="A136" s="99">
        <v>71</v>
      </c>
      <c r="C136" s="118">
        <v>13000</v>
      </c>
      <c r="D136" s="122">
        <f t="shared" si="53"/>
        <v>0.28333333333333455</v>
      </c>
      <c r="E136" s="122">
        <f t="shared" si="49"/>
        <v>0.21999999999999997</v>
      </c>
      <c r="F136" s="123" t="str">
        <f t="shared" si="35"/>
        <v/>
      </c>
      <c r="G136" s="123" t="str">
        <f t="shared" si="36"/>
        <v/>
      </c>
      <c r="H136" s="104">
        <f t="shared" si="54"/>
        <v>24624</v>
      </c>
      <c r="I136" s="104" t="str">
        <f t="shared" si="52"/>
        <v/>
      </c>
      <c r="K136" s="104"/>
      <c r="L136" s="104"/>
      <c r="M136" s="104"/>
      <c r="N136" s="104"/>
      <c r="O136" s="125">
        <f t="shared" si="55"/>
        <v>22.715405864058241</v>
      </c>
      <c r="P136" s="125">
        <f t="shared" si="56"/>
        <v>18.580568352462457</v>
      </c>
      <c r="Q136" s="125">
        <f t="shared" si="57"/>
        <v>21.985529579033674</v>
      </c>
      <c r="R136" s="125">
        <f t="shared" si="58"/>
        <v>18.290172620828812</v>
      </c>
      <c r="S136" s="125">
        <f t="shared" si="59"/>
        <v>21.395041737707913</v>
      </c>
      <c r="T136" s="125">
        <f t="shared" si="60"/>
        <v>20.505583567060143</v>
      </c>
      <c r="U136" s="125">
        <f t="shared" si="61"/>
        <v>19.089285408905706</v>
      </c>
      <c r="V136" s="118"/>
      <c r="W136" s="125">
        <f t="shared" ref="W136:X141" si="62">((36*PMT(0.04/12,36,-W$8*0.9,W$8*$D136*0.9))/$C136)+(W$17/$C136)+W$13</f>
        <v>20.50007474450738</v>
      </c>
      <c r="X136" s="125">
        <f t="shared" si="62"/>
        <v>22.15640754178537</v>
      </c>
      <c r="AB136" s="126">
        <f t="shared" si="51"/>
        <v>7.5670153846153845</v>
      </c>
      <c r="AD136" s="125">
        <f t="shared" si="48"/>
        <v>0</v>
      </c>
    </row>
    <row r="137" spans="1:30" x14ac:dyDescent="0.35">
      <c r="A137" s="99">
        <v>72</v>
      </c>
      <c r="C137" s="118">
        <v>13100</v>
      </c>
      <c r="D137" s="122">
        <f t="shared" si="53"/>
        <v>0.2816666666666679</v>
      </c>
      <c r="E137" s="122">
        <f t="shared" si="49"/>
        <v>0.21899999999999997</v>
      </c>
      <c r="F137" s="123" t="str">
        <f t="shared" si="35"/>
        <v/>
      </c>
      <c r="G137" s="123" t="str">
        <f t="shared" si="36"/>
        <v/>
      </c>
      <c r="H137" s="104">
        <f t="shared" si="54"/>
        <v>24768</v>
      </c>
      <c r="I137" s="104" t="str">
        <f t="shared" si="52"/>
        <v/>
      </c>
      <c r="K137" s="104"/>
      <c r="L137" s="104"/>
      <c r="M137" s="104"/>
      <c r="N137" s="104"/>
      <c r="O137" s="125">
        <f t="shared" si="55"/>
        <v>22.604918459643461</v>
      </c>
      <c r="P137" s="125">
        <f t="shared" si="56"/>
        <v>18.493241595189136</v>
      </c>
      <c r="Q137" s="125">
        <f t="shared" si="57"/>
        <v>21.880980802091067</v>
      </c>
      <c r="R137" s="125">
        <f t="shared" si="58"/>
        <v>18.20821867945271</v>
      </c>
      <c r="S137" s="125">
        <f t="shared" si="59"/>
        <v>21.317282848079305</v>
      </c>
      <c r="T137" s="125">
        <f t="shared" si="60"/>
        <v>20.427072168691279</v>
      </c>
      <c r="U137" s="125">
        <f t="shared" si="61"/>
        <v>19.019919434913525</v>
      </c>
      <c r="V137" s="118"/>
      <c r="W137" s="125">
        <f t="shared" si="62"/>
        <v>20.421594602072581</v>
      </c>
      <c r="X137" s="125">
        <f t="shared" si="62"/>
        <v>22.069584636361334</v>
      </c>
      <c r="AB137" s="126">
        <f t="shared" si="51"/>
        <v>7.5458931297709926</v>
      </c>
      <c r="AD137" s="125">
        <f t="shared" si="48"/>
        <v>0</v>
      </c>
    </row>
    <row r="138" spans="1:30" x14ac:dyDescent="0.35">
      <c r="A138" s="99">
        <v>73</v>
      </c>
      <c r="C138" s="118">
        <v>13200</v>
      </c>
      <c r="D138" s="122">
        <f t="shared" si="53"/>
        <v>0.28000000000000125</v>
      </c>
      <c r="E138" s="122">
        <f t="shared" si="49"/>
        <v>0.21799999999999997</v>
      </c>
      <c r="F138" s="123" t="str">
        <f t="shared" si="35"/>
        <v/>
      </c>
      <c r="G138" s="123" t="str">
        <f t="shared" si="36"/>
        <v/>
      </c>
      <c r="H138" s="104">
        <f t="shared" si="54"/>
        <v>24912</v>
      </c>
      <c r="I138" s="104" t="str">
        <f t="shared" si="52"/>
        <v/>
      </c>
      <c r="K138" s="104"/>
      <c r="L138" s="104"/>
      <c r="M138" s="104"/>
      <c r="N138" s="104"/>
      <c r="O138" s="125">
        <f t="shared" si="55"/>
        <v>22.496105106810724</v>
      </c>
      <c r="P138" s="125">
        <f t="shared" si="56"/>
        <v>18.407237970601788</v>
      </c>
      <c r="Q138" s="125">
        <f t="shared" si="57"/>
        <v>21.778016097526383</v>
      </c>
      <c r="R138" s="125">
        <f t="shared" si="58"/>
        <v>18.127506464461099</v>
      </c>
      <c r="S138" s="125">
        <f t="shared" si="59"/>
        <v>21.240702123445072</v>
      </c>
      <c r="T138" s="125">
        <f t="shared" si="60"/>
        <v>20.34975033696437</v>
      </c>
      <c r="U138" s="125">
        <f t="shared" si="61"/>
        <v>18.951604460527292</v>
      </c>
      <c r="V138" s="118">
        <f>C138/3</f>
        <v>4400</v>
      </c>
      <c r="W138" s="125">
        <f t="shared" si="62"/>
        <v>20.344303552704979</v>
      </c>
      <c r="X138" s="125">
        <f t="shared" si="62"/>
        <v>21.984077229504337</v>
      </c>
      <c r="AB138" s="126">
        <f t="shared" si="51"/>
        <v>7.5250909090909097</v>
      </c>
      <c r="AD138" s="125">
        <f t="shared" si="48"/>
        <v>-9443.9609873239588</v>
      </c>
    </row>
    <row r="139" spans="1:30" x14ac:dyDescent="0.35">
      <c r="A139" s="99">
        <v>74</v>
      </c>
      <c r="C139" s="118">
        <v>13300</v>
      </c>
      <c r="D139" s="122">
        <f t="shared" si="53"/>
        <v>0.2783333333333346</v>
      </c>
      <c r="E139" s="122">
        <f t="shared" si="49"/>
        <v>0.21699999999999997</v>
      </c>
      <c r="F139" s="123" t="str">
        <f t="shared" si="35"/>
        <v/>
      </c>
      <c r="G139" s="123" t="str">
        <f t="shared" si="36"/>
        <v/>
      </c>
      <c r="H139" s="104">
        <f t="shared" si="54"/>
        <v>25056</v>
      </c>
      <c r="I139" s="104" t="str">
        <f t="shared" si="52"/>
        <v/>
      </c>
      <c r="K139" s="104"/>
      <c r="L139" s="104"/>
      <c r="M139" s="104"/>
      <c r="N139" s="104"/>
      <c r="O139" s="125">
        <f t="shared" si="55"/>
        <v>22.388928044998032</v>
      </c>
      <c r="P139" s="125">
        <f t="shared" si="56"/>
        <v>18.322527633602213</v>
      </c>
      <c r="Q139" s="125">
        <f t="shared" si="57"/>
        <v>21.676599734383721</v>
      </c>
      <c r="R139" s="125">
        <f t="shared" si="58"/>
        <v>18.048007966988159</v>
      </c>
      <c r="S139" s="125">
        <f t="shared" si="59"/>
        <v>21.165272988654966</v>
      </c>
      <c r="T139" s="125">
        <f t="shared" si="60"/>
        <v>20.273591239549141</v>
      </c>
      <c r="U139" s="125">
        <f t="shared" si="61"/>
        <v>18.884316778988964</v>
      </c>
      <c r="V139" s="118"/>
      <c r="W139" s="125">
        <f t="shared" si="62"/>
        <v>20.268174774756435</v>
      </c>
      <c r="X139" s="125">
        <f t="shared" si="62"/>
        <v>21.899855648314364</v>
      </c>
      <c r="AB139" s="126">
        <f t="shared" si="51"/>
        <v>7.5046015037593987</v>
      </c>
      <c r="AD139" s="125">
        <f t="shared" si="48"/>
        <v>0</v>
      </c>
    </row>
    <row r="140" spans="1:30" x14ac:dyDescent="0.35">
      <c r="A140" s="99">
        <v>75</v>
      </c>
      <c r="C140" s="118">
        <v>13400</v>
      </c>
      <c r="D140" s="122">
        <f t="shared" si="53"/>
        <v>0.27666666666666795</v>
      </c>
      <c r="E140" s="122">
        <f t="shared" si="49"/>
        <v>0.21599999999999997</v>
      </c>
      <c r="F140" s="123" t="str">
        <f t="shared" si="35"/>
        <v/>
      </c>
      <c r="G140" s="123" t="str">
        <f t="shared" si="36"/>
        <v/>
      </c>
      <c r="H140" s="104">
        <f t="shared" si="54"/>
        <v>25200</v>
      </c>
      <c r="I140" s="104" t="str">
        <f t="shared" si="52"/>
        <v/>
      </c>
      <c r="K140" s="104"/>
      <c r="L140" s="104"/>
      <c r="M140" s="104"/>
      <c r="N140" s="104"/>
      <c r="O140" s="125">
        <f t="shared" si="55"/>
        <v>22.283350640824331</v>
      </c>
      <c r="P140" s="125">
        <f t="shared" si="56"/>
        <v>18.239081629990689</v>
      </c>
      <c r="Q140" s="125">
        <f t="shared" si="57"/>
        <v>21.576697048302883</v>
      </c>
      <c r="R140" s="125">
        <f t="shared" si="58"/>
        <v>17.969696014253618</v>
      </c>
      <c r="S140" s="125">
        <f t="shared" si="59"/>
        <v>21.090969661846795</v>
      </c>
      <c r="T140" s="125">
        <f t="shared" si="60"/>
        <v>20.198568845080409</v>
      </c>
      <c r="U140" s="125">
        <f t="shared" si="61"/>
        <v>18.818033391204949</v>
      </c>
      <c r="V140" s="118"/>
      <c r="W140" s="125">
        <f t="shared" si="62"/>
        <v>20.193182247225032</v>
      </c>
      <c r="X140" s="125">
        <f t="shared" si="62"/>
        <v>21.81689110564961</v>
      </c>
      <c r="AB140" s="126">
        <f t="shared" si="51"/>
        <v>7.4844179104477613</v>
      </c>
      <c r="AD140" s="125">
        <f t="shared" si="48"/>
        <v>0</v>
      </c>
    </row>
    <row r="141" spans="1:30" x14ac:dyDescent="0.35">
      <c r="A141" s="99">
        <v>76</v>
      </c>
      <c r="C141" s="118">
        <v>13500</v>
      </c>
      <c r="D141" s="122">
        <f t="shared" ref="D141:D156" si="63">+D140-$B$96</f>
        <v>0.2750000000000013</v>
      </c>
      <c r="E141" s="122">
        <f t="shared" si="49"/>
        <v>0.21499999999999997</v>
      </c>
      <c r="F141" s="123" t="str">
        <f t="shared" si="35"/>
        <v/>
      </c>
      <c r="G141" s="123" t="str">
        <f t="shared" si="36"/>
        <v/>
      </c>
      <c r="H141" s="104">
        <f t="shared" si="54"/>
        <v>25344</v>
      </c>
      <c r="I141" s="104" t="str">
        <f t="shared" si="52"/>
        <v/>
      </c>
      <c r="K141" s="104"/>
      <c r="L141" s="104"/>
      <c r="M141" s="104"/>
      <c r="N141" s="104"/>
      <c r="O141" s="125">
        <f t="shared" si="55"/>
        <v>22.179337346342091</v>
      </c>
      <c r="P141" s="125">
        <f t="shared" si="56"/>
        <v>18.156871863469714</v>
      </c>
      <c r="Q141" s="125">
        <f t="shared" si="57"/>
        <v>21.478274402015842</v>
      </c>
      <c r="R141" s="125">
        <f t="shared" si="58"/>
        <v>17.892544238596628</v>
      </c>
      <c r="S141" s="125">
        <f t="shared" si="59"/>
        <v>21.017767125065419</v>
      </c>
      <c r="T141" s="125">
        <f t="shared" si="60"/>
        <v>20.124657893492696</v>
      </c>
      <c r="U141" s="125">
        <f t="shared" si="61"/>
        <v>18.752731979536247</v>
      </c>
      <c r="V141" s="118">
        <f>C141/3</f>
        <v>4500</v>
      </c>
      <c r="W141" s="125">
        <f t="shared" si="62"/>
        <v>20.119300720101506</v>
      </c>
      <c r="X141" s="125">
        <f t="shared" si="62"/>
        <v>21.735155667320633</v>
      </c>
      <c r="AB141" s="126">
        <f t="shared" si="51"/>
        <v>7.4645333333333337</v>
      </c>
      <c r="AD141" s="125">
        <f t="shared" si="48"/>
        <v>-9246.0575378222802</v>
      </c>
    </row>
    <row r="142" spans="1:30" x14ac:dyDescent="0.35">
      <c r="A142" s="99">
        <v>77</v>
      </c>
      <c r="C142" s="118">
        <v>13600</v>
      </c>
      <c r="D142" s="122">
        <f t="shared" si="63"/>
        <v>0.27333333333333465</v>
      </c>
      <c r="E142" s="122">
        <f t="shared" si="49"/>
        <v>0.21399999999999997</v>
      </c>
      <c r="F142" s="123" t="str">
        <f t="shared" si="35"/>
        <v/>
      </c>
      <c r="G142" s="123" t="str">
        <f t="shared" si="36"/>
        <v/>
      </c>
      <c r="H142" s="104">
        <f t="shared" si="54"/>
        <v>25488</v>
      </c>
      <c r="I142" s="104" t="str">
        <f t="shared" si="52"/>
        <v/>
      </c>
      <c r="K142" s="104"/>
      <c r="L142" s="104"/>
      <c r="M142" s="104"/>
      <c r="N142" s="104"/>
      <c r="O142" s="125"/>
      <c r="P142" s="125"/>
      <c r="Q142" s="125"/>
      <c r="R142" s="125"/>
      <c r="S142" s="125"/>
      <c r="T142" s="125"/>
      <c r="U142" s="125"/>
      <c r="V142" s="118"/>
      <c r="W142" s="125"/>
      <c r="X142" s="125"/>
      <c r="Z142" s="118"/>
    </row>
    <row r="143" spans="1:30" x14ac:dyDescent="0.35">
      <c r="A143" s="99">
        <v>78</v>
      </c>
      <c r="C143" s="118">
        <v>13700</v>
      </c>
      <c r="D143" s="122">
        <f t="shared" si="63"/>
        <v>0.271666666666668</v>
      </c>
      <c r="E143" s="122">
        <f t="shared" si="49"/>
        <v>0.21299999999999997</v>
      </c>
      <c r="F143" s="123" t="str">
        <f t="shared" si="35"/>
        <v/>
      </c>
      <c r="G143" s="123" t="str">
        <f t="shared" si="36"/>
        <v/>
      </c>
      <c r="H143" s="104">
        <f t="shared" si="54"/>
        <v>25632</v>
      </c>
      <c r="I143" s="104" t="str">
        <f t="shared" si="52"/>
        <v/>
      </c>
      <c r="K143" s="104"/>
      <c r="L143" s="104"/>
      <c r="M143" s="104"/>
      <c r="N143" s="104"/>
      <c r="O143" s="125"/>
      <c r="P143" s="125"/>
      <c r="Q143" s="125"/>
      <c r="R143" s="125"/>
      <c r="S143" s="125"/>
      <c r="T143" s="125"/>
      <c r="U143" s="125"/>
      <c r="V143" s="118"/>
      <c r="W143" s="125"/>
      <c r="X143" s="125"/>
      <c r="Z143" s="118"/>
    </row>
    <row r="144" spans="1:30" x14ac:dyDescent="0.35">
      <c r="A144" s="99">
        <v>79</v>
      </c>
      <c r="C144" s="118">
        <v>13800</v>
      </c>
      <c r="D144" s="122">
        <f t="shared" si="63"/>
        <v>0.27000000000000135</v>
      </c>
      <c r="E144" s="122">
        <f t="shared" si="49"/>
        <v>0.21199999999999997</v>
      </c>
      <c r="F144" s="123" t="str">
        <f t="shared" si="35"/>
        <v/>
      </c>
      <c r="G144" s="123" t="str">
        <f t="shared" si="36"/>
        <v/>
      </c>
      <c r="H144" s="104">
        <f t="shared" si="54"/>
        <v>25776</v>
      </c>
      <c r="I144" s="104" t="str">
        <f t="shared" si="52"/>
        <v/>
      </c>
      <c r="K144" s="104"/>
      <c r="L144" s="104"/>
      <c r="M144" s="104"/>
      <c r="N144" s="104"/>
      <c r="O144" s="125"/>
      <c r="P144" s="125"/>
      <c r="Q144" s="125"/>
      <c r="R144" s="125"/>
      <c r="S144" s="125"/>
      <c r="T144" s="125"/>
      <c r="U144" s="125"/>
      <c r="V144" s="118"/>
      <c r="W144" s="125"/>
      <c r="X144" s="125"/>
      <c r="Z144" s="118"/>
    </row>
    <row r="145" spans="1:26" x14ac:dyDescent="0.35">
      <c r="A145" s="99">
        <v>80</v>
      </c>
      <c r="C145" s="118">
        <v>13900</v>
      </c>
      <c r="D145" s="122">
        <f t="shared" si="63"/>
        <v>0.2683333333333347</v>
      </c>
      <c r="E145" s="122">
        <f t="shared" si="49"/>
        <v>0.21099999999999997</v>
      </c>
      <c r="F145" s="123" t="str">
        <f t="shared" si="35"/>
        <v/>
      </c>
      <c r="G145" s="123" t="str">
        <f t="shared" si="36"/>
        <v/>
      </c>
      <c r="H145" s="104">
        <f t="shared" si="54"/>
        <v>25920</v>
      </c>
      <c r="I145" s="104" t="str">
        <f t="shared" si="52"/>
        <v/>
      </c>
      <c r="K145" s="104"/>
      <c r="L145" s="104"/>
      <c r="M145" s="104"/>
      <c r="N145" s="104"/>
      <c r="O145" s="125"/>
      <c r="P145" s="125"/>
      <c r="Q145" s="125"/>
      <c r="R145" s="125"/>
      <c r="S145" s="125"/>
      <c r="T145" s="125"/>
      <c r="U145" s="125"/>
      <c r="V145" s="118"/>
      <c r="W145" s="125"/>
      <c r="X145" s="125"/>
      <c r="Z145" s="118"/>
    </row>
    <row r="146" spans="1:26" x14ac:dyDescent="0.35">
      <c r="A146" s="99">
        <v>81</v>
      </c>
      <c r="C146" s="118">
        <v>14000</v>
      </c>
      <c r="D146" s="122">
        <f t="shared" si="63"/>
        <v>0.26666666666666805</v>
      </c>
      <c r="E146" s="122">
        <f t="shared" si="49"/>
        <v>0.20999999999999996</v>
      </c>
      <c r="F146" s="123" t="str">
        <f t="shared" ref="F146:F156" si="64">IF($D$19=C146,D146,"")</f>
        <v/>
      </c>
      <c r="G146" s="123" t="str">
        <f t="shared" ref="G146:G156" si="65">IF($E$19=C146,E146,"")</f>
        <v/>
      </c>
      <c r="H146" s="104">
        <f t="shared" si="54"/>
        <v>26064</v>
      </c>
      <c r="I146" s="104" t="str">
        <f t="shared" si="52"/>
        <v/>
      </c>
      <c r="K146" s="104"/>
      <c r="L146" s="104"/>
      <c r="M146" s="104"/>
      <c r="N146" s="104"/>
      <c r="O146" s="125"/>
      <c r="P146" s="125"/>
      <c r="Q146" s="125"/>
      <c r="R146" s="125"/>
      <c r="S146" s="125"/>
      <c r="T146" s="125"/>
      <c r="U146" s="125"/>
      <c r="V146" s="118"/>
      <c r="W146" s="125"/>
      <c r="X146" s="125"/>
      <c r="Z146" s="118"/>
    </row>
    <row r="147" spans="1:26" x14ac:dyDescent="0.35">
      <c r="A147" s="99">
        <v>82</v>
      </c>
      <c r="C147" s="118">
        <v>14100</v>
      </c>
      <c r="D147" s="122">
        <f t="shared" si="63"/>
        <v>0.2650000000000014</v>
      </c>
      <c r="E147" s="122">
        <f t="shared" si="49"/>
        <v>0.20899999999999996</v>
      </c>
      <c r="F147" s="123" t="str">
        <f t="shared" si="64"/>
        <v/>
      </c>
      <c r="G147" s="123" t="str">
        <f t="shared" si="65"/>
        <v/>
      </c>
      <c r="H147" s="104">
        <f t="shared" si="54"/>
        <v>26207.999999999996</v>
      </c>
      <c r="I147" s="104" t="str">
        <f t="shared" si="52"/>
        <v/>
      </c>
      <c r="K147" s="104"/>
      <c r="L147" s="104"/>
      <c r="M147" s="104"/>
      <c r="N147" s="104"/>
      <c r="O147" s="125"/>
      <c r="P147" s="125"/>
      <c r="Q147" s="125"/>
      <c r="R147" s="125"/>
      <c r="S147" s="125"/>
      <c r="T147" s="125"/>
      <c r="U147" s="125"/>
      <c r="V147" s="118"/>
      <c r="W147" s="125"/>
      <c r="X147" s="125"/>
      <c r="Z147" s="118"/>
    </row>
    <row r="148" spans="1:26" x14ac:dyDescent="0.35">
      <c r="A148" s="99">
        <v>83</v>
      </c>
      <c r="C148" s="118">
        <v>14200</v>
      </c>
      <c r="D148" s="122">
        <f t="shared" si="63"/>
        <v>0.26333333333333475</v>
      </c>
      <c r="E148" s="122">
        <f t="shared" si="49"/>
        <v>0.20799999999999996</v>
      </c>
      <c r="F148" s="123" t="str">
        <f t="shared" si="64"/>
        <v/>
      </c>
      <c r="G148" s="123" t="str">
        <f t="shared" si="65"/>
        <v/>
      </c>
      <c r="H148" s="104">
        <f t="shared" si="54"/>
        <v>26352</v>
      </c>
      <c r="I148" s="104" t="str">
        <f t="shared" si="52"/>
        <v/>
      </c>
      <c r="K148" s="104"/>
      <c r="L148" s="104"/>
      <c r="M148" s="104"/>
      <c r="N148" s="104"/>
    </row>
    <row r="149" spans="1:26" x14ac:dyDescent="0.35">
      <c r="A149" s="99">
        <v>84</v>
      </c>
      <c r="C149" s="118">
        <v>14300</v>
      </c>
      <c r="D149" s="122">
        <f t="shared" si="63"/>
        <v>0.2616666666666681</v>
      </c>
      <c r="E149" s="122">
        <f t="shared" si="49"/>
        <v>0.20699999999999996</v>
      </c>
      <c r="F149" s="123" t="str">
        <f t="shared" si="64"/>
        <v/>
      </c>
      <c r="G149" s="123" t="str">
        <f t="shared" si="65"/>
        <v/>
      </c>
      <c r="H149" s="104">
        <f t="shared" si="54"/>
        <v>26495.999999999996</v>
      </c>
      <c r="I149" s="104" t="str">
        <f t="shared" si="52"/>
        <v/>
      </c>
      <c r="K149" s="104"/>
      <c r="L149" s="104"/>
      <c r="M149" s="104"/>
      <c r="N149" s="104"/>
    </row>
    <row r="150" spans="1:26" x14ac:dyDescent="0.35">
      <c r="A150" s="99">
        <v>85</v>
      </c>
      <c r="C150" s="118">
        <v>14400</v>
      </c>
      <c r="D150" s="122">
        <f t="shared" si="63"/>
        <v>0.26000000000000145</v>
      </c>
      <c r="E150" s="122">
        <f t="shared" si="49"/>
        <v>0.20599999999999996</v>
      </c>
      <c r="F150" s="123" t="str">
        <f t="shared" si="64"/>
        <v/>
      </c>
      <c r="G150" s="123" t="str">
        <f t="shared" si="65"/>
        <v/>
      </c>
      <c r="H150" s="104">
        <f t="shared" si="54"/>
        <v>26640</v>
      </c>
      <c r="I150" s="104" t="str">
        <f t="shared" si="52"/>
        <v/>
      </c>
      <c r="K150" s="104"/>
      <c r="L150" s="104"/>
      <c r="M150" s="104"/>
      <c r="N150" s="104"/>
    </row>
    <row r="151" spans="1:26" x14ac:dyDescent="0.35">
      <c r="A151" s="99">
        <v>86</v>
      </c>
      <c r="C151" s="118">
        <v>14500</v>
      </c>
      <c r="D151" s="122">
        <f t="shared" si="63"/>
        <v>0.2583333333333348</v>
      </c>
      <c r="E151" s="122">
        <f t="shared" si="49"/>
        <v>0.20499999999999996</v>
      </c>
      <c r="F151" s="123" t="str">
        <f t="shared" si="64"/>
        <v/>
      </c>
      <c r="G151" s="123" t="str">
        <f t="shared" si="65"/>
        <v/>
      </c>
      <c r="H151" s="104">
        <f t="shared" si="54"/>
        <v>26784</v>
      </c>
      <c r="I151" s="104" t="str">
        <f t="shared" si="52"/>
        <v/>
      </c>
      <c r="K151" s="104"/>
      <c r="L151" s="104"/>
      <c r="M151" s="104"/>
      <c r="N151" s="104"/>
    </row>
    <row r="152" spans="1:26" x14ac:dyDescent="0.35">
      <c r="A152" s="99">
        <v>87</v>
      </c>
      <c r="C152" s="118">
        <v>14600</v>
      </c>
      <c r="D152" s="122">
        <f t="shared" si="63"/>
        <v>0.25666666666666815</v>
      </c>
      <c r="E152" s="122">
        <f t="shared" si="49"/>
        <v>0.20399999999999996</v>
      </c>
      <c r="F152" s="123" t="str">
        <f t="shared" si="64"/>
        <v/>
      </c>
      <c r="G152" s="123" t="str">
        <f t="shared" si="65"/>
        <v/>
      </c>
      <c r="H152" s="104">
        <f t="shared" si="54"/>
        <v>26928</v>
      </c>
      <c r="I152" s="104" t="str">
        <f t="shared" si="52"/>
        <v/>
      </c>
      <c r="K152" s="104"/>
      <c r="L152" s="104"/>
      <c r="M152" s="104"/>
      <c r="N152" s="104"/>
    </row>
    <row r="153" spans="1:26" x14ac:dyDescent="0.35">
      <c r="A153" s="99">
        <v>88</v>
      </c>
      <c r="C153" s="118">
        <v>14700</v>
      </c>
      <c r="D153" s="122">
        <f t="shared" si="63"/>
        <v>0.2550000000000015</v>
      </c>
      <c r="E153" s="122">
        <f t="shared" si="49"/>
        <v>0.20299999999999996</v>
      </c>
      <c r="F153" s="123" t="str">
        <f t="shared" si="64"/>
        <v/>
      </c>
      <c r="G153" s="123" t="str">
        <f t="shared" si="65"/>
        <v/>
      </c>
      <c r="H153" s="104">
        <f t="shared" si="54"/>
        <v>27072</v>
      </c>
      <c r="I153" s="104" t="str">
        <f t="shared" si="52"/>
        <v/>
      </c>
      <c r="K153" s="104"/>
      <c r="L153" s="104"/>
      <c r="M153" s="104"/>
      <c r="N153" s="104"/>
    </row>
    <row r="154" spans="1:26" x14ac:dyDescent="0.35">
      <c r="A154" s="99">
        <v>89</v>
      </c>
      <c r="C154" s="118">
        <v>14800</v>
      </c>
      <c r="D154" s="122">
        <f t="shared" si="63"/>
        <v>0.25333333333333485</v>
      </c>
      <c r="E154" s="122">
        <f t="shared" si="49"/>
        <v>0.20199999999999996</v>
      </c>
      <c r="F154" s="123" t="str">
        <f t="shared" si="64"/>
        <v/>
      </c>
      <c r="G154" s="123" t="str">
        <f t="shared" si="65"/>
        <v/>
      </c>
      <c r="H154" s="104">
        <f t="shared" si="54"/>
        <v>27216</v>
      </c>
      <c r="I154" s="104" t="str">
        <f t="shared" si="52"/>
        <v/>
      </c>
      <c r="K154" s="104"/>
      <c r="L154" s="104"/>
      <c r="M154" s="104"/>
      <c r="N154" s="104"/>
    </row>
    <row r="155" spans="1:26" x14ac:dyDescent="0.35">
      <c r="A155" s="99">
        <v>90</v>
      </c>
      <c r="C155" s="118">
        <v>14900</v>
      </c>
      <c r="D155" s="122">
        <f t="shared" si="63"/>
        <v>0.2516666666666682</v>
      </c>
      <c r="E155" s="122">
        <f t="shared" si="49"/>
        <v>0.20099999999999996</v>
      </c>
      <c r="F155" s="123" t="str">
        <f t="shared" si="64"/>
        <v/>
      </c>
      <c r="G155" s="123" t="str">
        <f t="shared" si="65"/>
        <v/>
      </c>
      <c r="H155" s="104">
        <f t="shared" si="54"/>
        <v>27360</v>
      </c>
      <c r="I155" s="104" t="str">
        <f t="shared" si="52"/>
        <v/>
      </c>
      <c r="K155" s="104"/>
      <c r="L155" s="104"/>
      <c r="M155" s="104"/>
      <c r="N155" s="104"/>
    </row>
    <row r="156" spans="1:26" x14ac:dyDescent="0.35">
      <c r="A156" s="99">
        <v>91</v>
      </c>
      <c r="C156" s="118">
        <v>14999</v>
      </c>
      <c r="D156" s="122">
        <f t="shared" si="63"/>
        <v>0.25000000000000155</v>
      </c>
      <c r="E156" s="122">
        <f t="shared" si="49"/>
        <v>0.19999999999999996</v>
      </c>
      <c r="F156" s="123" t="str">
        <f t="shared" si="64"/>
        <v/>
      </c>
      <c r="G156" s="123" t="str">
        <f t="shared" si="65"/>
        <v/>
      </c>
      <c r="H156" s="104">
        <f t="shared" si="54"/>
        <v>27504.000000000004</v>
      </c>
      <c r="I156" s="104" t="str">
        <f t="shared" si="52"/>
        <v/>
      </c>
      <c r="K156" s="104"/>
      <c r="L156" s="104"/>
      <c r="M156" s="104"/>
      <c r="N156" s="104"/>
    </row>
  </sheetData>
  <sheetProtection algorithmName="SHA-512" hashValue="jcvYkvOZaPZNMKvt/NnKttayS5VgxeG7qAqLafpgo7bXC1V7G5woVvJJOK49uV002n3WpvHt54/hs4ACA/e+vw==" saltValue="qQHvzIEdUKRNv1F//hUl3w==" spinCount="100000" sheet="1" objects="1" scenarios="1" selectLockedCells="1" selectUnlockedCells="1"/>
  <mergeCells count="2">
    <mergeCell ref="AD3:AD7"/>
    <mergeCell ref="N8:N11"/>
  </mergeCells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5FC0BBCB6A364ABCBBF3BB2F9B7693" ma:contentTypeVersion="11" ma:contentTypeDescription="Skapa ett nytt dokument." ma:contentTypeScope="" ma:versionID="25dc118bc24da4521559eb09a37f3ca1">
  <xsd:schema xmlns:xsd="http://www.w3.org/2001/XMLSchema" xmlns:xs="http://www.w3.org/2001/XMLSchema" xmlns:p="http://schemas.microsoft.com/office/2006/metadata/properties" xmlns:ns2="2ee31719-e621-4789-83a3-ebd90c74eb3a" xmlns:ns3="3da2ed1e-f4ab-4ce2-9701-fc24827f3fcf" targetNamespace="http://schemas.microsoft.com/office/2006/metadata/properties" ma:root="true" ma:fieldsID="92fdc85a6abdfd9ad2b7511aeb46a2c4" ns2:_="" ns3:_="">
    <xsd:import namespace="2ee31719-e621-4789-83a3-ebd90c74eb3a"/>
    <xsd:import namespace="3da2ed1e-f4ab-4ce2-9701-fc24827f3f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e31719-e621-4789-83a3-ebd90c74e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2ed1e-f4ab-4ce2-9701-fc24827f3fc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R o R l U T V d E z C l A A A A 9 Q A A A B I A H A B D b 2 5 m a W c v U G F j a 2 F n Z S 5 4 b W w g o h g A K K A U A A A A A A A A A A A A A A A A A A A A A A A A A A A A h Y 9 N D o I w G E S v Q r q n L T U q I R 9 l Y d x J Y k J i 3 D a l Q i M U Q 8 v P 3 V x 4 J K 8 g R l F 3 L u f N W 8 z c r z d I x r r y e t V a 3 Z g Y B Z g i T x n Z 5 N o U M e r c y Q 9 R w m E v 5 F k U y p t k Y 6 P R 5 j E q n b t E h A z D g I c F b t q C M E o D c k x 3 m S x V L d B H 1 v 9 l X x v r h J E K c T i 8 x n C G w x V e s y W m Q G Y G q T b f n k 1 z n + 0 P h E 1 X u a 5 V 3 P Z + t g U y R y D v C / w B U E s D B B Q A A g A I A E a E Z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h G V R K I p H u A 4 A A A A R A A A A E w A c A E Z v c m 1 1 b G F z L 1 N l Y 3 R p b 2 4 x L m 0 g o h g A K K A U A A A A A A A A A A A A A A A A A A A A A A A A A A A A K 0 5 N L s n M z 1 M I h t C G 1 g B Q S w E C L Q A U A A I A C A B G h G V R N V 0 T M K U A A A D 1 A A A A E g A A A A A A A A A A A A A A A A A A A A A A Q 2 9 u Z m l n L 1 B h Y 2 t h Z 2 U u e G 1 s U E s B A i 0 A F A A C A A g A R o R l U Q / K 6 a u k A A A A 6 Q A A A B M A A A A A A A A A A A A A A A A A 8 Q A A A F t D b 2 5 0 Z W 5 0 X 1 R 5 c G V z X S 5 4 b W x Q S w E C L Q A U A A I A C A B G h G V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h Q k s Y L y k E m A Y i t R L 5 k 5 t A A A A A A C A A A A A A A Q Z g A A A A E A A C A A A A D X b s J j / O F x x 0 U b Q W r j J q 0 V P R S 1 L g k 8 h y 9 w w K N X h R c g q g A A A A A O g A A A A A I A A C A A A A D r 4 9 m F O I V n p C Y H j N d R V Q 5 7 b 7 a a y 5 t S v M S E 2 q z i P d 0 + 5 1 A A A A C i r D e x 7 + 0 / i u z b u 6 8 X U w H l 8 q w b q d O H z p Q F 7 c L a + d g S H / p f P i t P c X 3 B m m q n X w / z u K p N u / M x P O W Y o r M V E 4 P k c S f / Z R m 1 i R c H p F 9 C X U B 1 Y 1 A f 8 0 A A A A D Z q C r d 0 3 a r 1 a i t 3 y Q J t 0 J B z y u h p + 3 p O v t m V Z W m v s i B 3 Z K G S s P 4 5 D 1 S T J X X c E 9 x / o e Q U H 9 u E Q 5 n 4 9 Q R q Q 6 0 R y r 8 < / D a t a M a s h u p > 
</file>

<file path=customXml/itemProps1.xml><?xml version="1.0" encoding="utf-8"?>
<ds:datastoreItem xmlns:ds="http://schemas.openxmlformats.org/officeDocument/2006/customXml" ds:itemID="{FC05A678-66DA-4804-8F8E-C060E30650B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3da2ed1e-f4ab-4ce2-9701-fc24827f3fcf"/>
    <ds:schemaRef ds:uri="2ee31719-e621-4789-83a3-ebd90c74eb3a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693775F-4A45-4438-ADF6-9C5478BE5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623C19-6B3D-4DE3-99BD-78E937D703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e31719-e621-4789-83a3-ebd90c74eb3a"/>
    <ds:schemaRef ds:uri="3da2ed1e-f4ab-4ce2-9701-fc24827f3f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E6FE40-E63F-4527-8EBD-51C137389A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3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Instruktion</vt:lpstr>
      <vt:lpstr>Tabell sorterbar</vt:lpstr>
      <vt:lpstr>restvärde o service</vt:lpstr>
      <vt:lpstr>Diagram</vt:lpstr>
      <vt:lpstr>'Tabell sorterbar'!Utskriftsområde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Annica Owesson</cp:lastModifiedBy>
  <dcterms:created xsi:type="dcterms:W3CDTF">2021-08-27T14:39:12Z</dcterms:created>
  <dcterms:modified xsi:type="dcterms:W3CDTF">2021-09-28T19:17:25Z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0x010100245FC0BBCB6A364ABCBBF3BB2F9B7693</vt:lpwstr>
  </property>
</Properties>
</file>